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390" windowHeight="4470" activeTab="0"/>
  </bookViews>
  <sheets>
    <sheet name="MAIN" sheetId="1" r:id="rId1"/>
    <sheet name="ACTIONS" sheetId="2" r:id="rId2"/>
    <sheet name="SPANS" sheetId="3" r:id="rId3"/>
    <sheet name="WEIGHT" sheetId="4" r:id="rId4"/>
    <sheet name="Analysis" sheetId="5" r:id="rId5"/>
    <sheet name="Bar" sheetId="6" r:id="rId6"/>
    <sheet name="Graf" sheetId="7" r:id="rId7"/>
    <sheet name="Notes" sheetId="8" r:id="rId8"/>
  </sheets>
  <definedNames>
    <definedName name="_xlnm.Print_Area" localSheetId="1">'ACTIONS'!$B$2:$K$54</definedName>
    <definedName name="_xlnm.Print_Area" localSheetId="4">'Analysis'!$B$2:$N$301</definedName>
    <definedName name="_xlnm.Print_Area" localSheetId="5">'Bar'!$B$2:$J$587</definedName>
    <definedName name="_xlnm.Print_Area" localSheetId="6">'Graf'!$B$2:$AK$133</definedName>
    <definedName name="_xlnm.Print_Area" localSheetId="0">'MAIN'!$B$2:$K$56</definedName>
    <definedName name="_xlnm.Print_Area" localSheetId="2">'SPANS'!$B$50:$M$75</definedName>
    <definedName name="_xlnm.Print_Area" localSheetId="3">'WEIGHT'!$B$2:$I$51</definedName>
  </definedNames>
  <calcPr fullCalcOnLoad="1"/>
</workbook>
</file>

<file path=xl/sharedStrings.xml><?xml version="1.0" encoding="utf-8"?>
<sst xmlns="http://schemas.openxmlformats.org/spreadsheetml/2006/main" count="2269" uniqueCount="464">
  <si>
    <t>OPERATING INSTRUCTIONS</t>
  </si>
  <si>
    <t xml:space="preserve"> Project</t>
  </si>
  <si>
    <t xml:space="preserve"> Client</t>
  </si>
  <si>
    <t xml:space="preserve"> Made by</t>
  </si>
  <si>
    <t xml:space="preserve"> Date</t>
  </si>
  <si>
    <t xml:space="preserve"> Location</t>
  </si>
  <si>
    <t xml:space="preserve"> Checked</t>
  </si>
  <si>
    <t>Revision</t>
  </si>
  <si>
    <t xml:space="preserve"> Job No</t>
  </si>
  <si>
    <t xml:space="preserve"> MATERIALS</t>
  </si>
  <si>
    <t>fcu</t>
  </si>
  <si>
    <t>N/mm²</t>
  </si>
  <si>
    <t>h agg</t>
  </si>
  <si>
    <t>mm</t>
  </si>
  <si>
    <t>Top cover</t>
  </si>
  <si>
    <t>fy</t>
  </si>
  <si>
    <t>steel</t>
  </si>
  <si>
    <t>Btm cover</t>
  </si>
  <si>
    <t>fyv</t>
  </si>
  <si>
    <t>concrete</t>
  </si>
  <si>
    <t>Side cover</t>
  </si>
  <si>
    <t>Density</t>
  </si>
  <si>
    <t>kN/m³</t>
  </si>
  <si>
    <t>RIBS</t>
  </si>
  <si>
    <t>slab depth, hf</t>
  </si>
  <si>
    <t xml:space="preserve"> SPANS</t>
  </si>
  <si>
    <t>Rib width</t>
  </si>
  <si>
    <t>Left</t>
  </si>
  <si>
    <t>Right</t>
  </si>
  <si>
    <t>Centres</t>
  </si>
  <si>
    <t xml:space="preserve">SPAN 1 </t>
  </si>
  <si>
    <t>1 in</t>
  </si>
  <si>
    <t>taper</t>
  </si>
  <si>
    <t xml:space="preserve">SPAN 2 </t>
  </si>
  <si>
    <t>SUPPORTS</t>
  </si>
  <si>
    <t xml:space="preserve">SPAN 3 </t>
  </si>
  <si>
    <t>Support No</t>
  </si>
  <si>
    <t>Type</t>
  </si>
  <si>
    <t xml:space="preserve">SPAN 4 </t>
  </si>
  <si>
    <t>K</t>
  </si>
  <si>
    <t xml:space="preserve">SPAN 5 </t>
  </si>
  <si>
    <t xml:space="preserve">SPAN 6 </t>
  </si>
  <si>
    <t xml:space="preserve"> LOADING</t>
  </si>
  <si>
    <t>Self</t>
  </si>
  <si>
    <t>Add Dead</t>
  </si>
  <si>
    <t>Imposed</t>
  </si>
  <si>
    <t>Position</t>
  </si>
  <si>
    <t>SPAN 1</t>
  </si>
  <si>
    <t>Weight</t>
  </si>
  <si>
    <t>Load</t>
  </si>
  <si>
    <t>from left</t>
  </si>
  <si>
    <t>SPAN 4</t>
  </si>
  <si>
    <t xml:space="preserve">UDL </t>
  </si>
  <si>
    <t>~~~~</t>
  </si>
  <si>
    <t>UDL</t>
  </si>
  <si>
    <t xml:space="preserve">PL 1 </t>
  </si>
  <si>
    <t>PL 1</t>
  </si>
  <si>
    <t xml:space="preserve">PL 2 </t>
  </si>
  <si>
    <t>PL 2</t>
  </si>
  <si>
    <t>SPAN 2</t>
  </si>
  <si>
    <t>SPAN 5</t>
  </si>
  <si>
    <t>SPAN 3</t>
  </si>
  <si>
    <t>SPAN 6</t>
  </si>
  <si>
    <t xml:space="preserve"> LOADING PATTERN</t>
  </si>
  <si>
    <t>min</t>
  </si>
  <si>
    <t>max</t>
  </si>
  <si>
    <t>DEAD</t>
  </si>
  <si>
    <t>IMPOSED</t>
  </si>
  <si>
    <t xml:space="preserve"> LOADING DIAGRAM</t>
  </si>
  <si>
    <t xml:space="preserve">SUPPORT </t>
  </si>
  <si>
    <t>REINFORCEMENT DENSITY</t>
  </si>
  <si>
    <t>kN/m</t>
  </si>
  <si>
    <t>ON GROSS AREA</t>
  </si>
  <si>
    <t xml:space="preserve">MAX ULTIMATE </t>
  </si>
  <si>
    <t>Made by</t>
  </si>
  <si>
    <t>Date</t>
  </si>
  <si>
    <t>Page</t>
  </si>
  <si>
    <t>Checked</t>
  </si>
  <si>
    <t>Job No</t>
  </si>
  <si>
    <t>CHOOSE REDISTRIBUTION LIMITS (3.2.2.1)</t>
  </si>
  <si>
    <t>0 = Full redistribution.</t>
  </si>
  <si>
    <t>1 = Limit alt span upward redistribution to %.</t>
  </si>
  <si>
    <t>2 = No span moment redistribution.</t>
  </si>
  <si>
    <t>Elastic Moments</t>
  </si>
  <si>
    <t>Redistributed Envelope</t>
  </si>
  <si>
    <t>SUPPORT No</t>
  </si>
  <si>
    <t xml:space="preserve">Elastic M </t>
  </si>
  <si>
    <t>kNm/m</t>
  </si>
  <si>
    <t xml:space="preserve">Redistributed M </t>
  </si>
  <si>
    <t xml:space="preserve">ßb </t>
  </si>
  <si>
    <t xml:space="preserve">Redistribution </t>
  </si>
  <si>
    <t>SELECT REDISTRIBUTION % HERE</t>
  </si>
  <si>
    <t>SPAN No</t>
  </si>
  <si>
    <t>Elastic Shears</t>
  </si>
  <si>
    <t>Redistributed Shears</t>
  </si>
  <si>
    <t xml:space="preserve">Elastic V </t>
  </si>
  <si>
    <t xml:space="preserve">Redistributed V </t>
  </si>
  <si>
    <t>As</t>
  </si>
  <si>
    <t xml:space="preserve"> T</t>
  </si>
  <si>
    <t>'</t>
  </si>
  <si>
    <t xml:space="preserve"> SPAN 1</t>
  </si>
  <si>
    <t>LEFT</t>
  </si>
  <si>
    <t>CENTRE</t>
  </si>
  <si>
    <t>RIGHT</t>
  </si>
  <si>
    <t>ACTIONS</t>
  </si>
  <si>
    <t>M</t>
  </si>
  <si>
    <t>ßb</t>
  </si>
  <si>
    <t>DESIGN</t>
  </si>
  <si>
    <t>d</t>
  </si>
  <si>
    <t>mm²</t>
  </si>
  <si>
    <t>As'</t>
  </si>
  <si>
    <t>TOP STEEL</t>
  </si>
  <si>
    <t>As prov</t>
  </si>
  <si>
    <t>BTM STEEL</t>
  </si>
  <si>
    <t>As' prov</t>
  </si>
  <si>
    <t>SHEAR</t>
  </si>
  <si>
    <t>V</t>
  </si>
  <si>
    <t>v</t>
  </si>
  <si>
    <t>vc</t>
  </si>
  <si>
    <t>Link Ø</t>
  </si>
  <si>
    <t>DEFLECTION</t>
  </si>
  <si>
    <t>L/d</t>
  </si>
  <si>
    <t>Allowed</t>
  </si>
  <si>
    <t>&amp; CHECKS</t>
  </si>
  <si>
    <t>% As</t>
  </si>
  <si>
    <t>Bar Ø &amp; cover</t>
  </si>
  <si>
    <t>Bar spacing</t>
  </si>
  <si>
    <t>Dist to link</t>
  </si>
  <si>
    <t xml:space="preserve"> SPAN 2</t>
  </si>
  <si>
    <t xml:space="preserve"> SPAN 3</t>
  </si>
  <si>
    <t xml:space="preserve"> SPAN 4</t>
  </si>
  <si>
    <t xml:space="preserve"> SPAN 5</t>
  </si>
  <si>
    <t xml:space="preserve"> SPAN 6</t>
  </si>
  <si>
    <t>spans</t>
  </si>
  <si>
    <t>Laps</t>
  </si>
  <si>
    <t xml:space="preserve"> TOP STEEL</t>
  </si>
  <si>
    <t>No</t>
  </si>
  <si>
    <t>Dia</t>
  </si>
  <si>
    <t>Length</t>
  </si>
  <si>
    <t>Unit Wt</t>
  </si>
  <si>
    <t>Bobs</t>
  </si>
  <si>
    <t>Support 1</t>
  </si>
  <si>
    <t>Span 1</t>
  </si>
  <si>
    <t>Support 2</t>
  </si>
  <si>
    <t xml:space="preserve"> BOTTOM STEEL</t>
  </si>
  <si>
    <t xml:space="preserve"> LINKS</t>
  </si>
  <si>
    <t xml:space="preserve"> SUMMARY</t>
  </si>
  <si>
    <t>Reinforcement density (kg/m²)</t>
  </si>
  <si>
    <t>On gross area</t>
  </si>
  <si>
    <t>Area</t>
  </si>
  <si>
    <t>m2</t>
  </si>
  <si>
    <t>SELF WEIGHT</t>
  </si>
  <si>
    <t>ave bw</t>
  </si>
  <si>
    <t>rib area</t>
  </si>
  <si>
    <t>net self wt</t>
  </si>
  <si>
    <t>kN/m²</t>
  </si>
  <si>
    <t>E/O solid</t>
  </si>
  <si>
    <t>cross rib</t>
  </si>
  <si>
    <t>total SW</t>
  </si>
  <si>
    <t>ANALYSIS</t>
  </si>
  <si>
    <t>Min load</t>
  </si>
  <si>
    <t>x dead load</t>
  </si>
  <si>
    <t>Max load</t>
  </si>
  <si>
    <t>x dead load +</t>
  </si>
  <si>
    <t>x imposed load</t>
  </si>
  <si>
    <t>(Table 2.1)</t>
  </si>
  <si>
    <t>Distribution Factors</t>
  </si>
  <si>
    <t>SUPT 1</t>
  </si>
  <si>
    <t>SUPT 2</t>
  </si>
  <si>
    <t>SUPT 3</t>
  </si>
  <si>
    <t>SUPT 4</t>
  </si>
  <si>
    <t>SUPT 5</t>
  </si>
  <si>
    <t>SUPT 6</t>
  </si>
  <si>
    <t>SUPT 7</t>
  </si>
  <si>
    <t>R</t>
  </si>
  <si>
    <t>L</t>
  </si>
  <si>
    <t>Af</t>
  </si>
  <si>
    <t>h -hf</t>
  </si>
  <si>
    <t>Aw1</t>
  </si>
  <si>
    <t>Aw2</t>
  </si>
  <si>
    <t>A sum</t>
  </si>
  <si>
    <t>sum Ax</t>
  </si>
  <si>
    <t>x bar</t>
  </si>
  <si>
    <t>sum Ad²</t>
  </si>
  <si>
    <t>Ix</t>
  </si>
  <si>
    <t>Stiffness</t>
  </si>
  <si>
    <t>Sum</t>
  </si>
  <si>
    <t>Factor</t>
  </si>
  <si>
    <t>Fixed End Moments</t>
  </si>
  <si>
    <t>Cant</t>
  </si>
  <si>
    <t>FEM</t>
  </si>
  <si>
    <t>Live load</t>
  </si>
  <si>
    <t>Moment Distribution</t>
  </si>
  <si>
    <t>Live on</t>
  </si>
  <si>
    <t>Odd Spans</t>
  </si>
  <si>
    <t>Even Spans</t>
  </si>
  <si>
    <t>Elastic Support Moments</t>
  </si>
  <si>
    <t>(3.2.1.2.2)</t>
  </si>
  <si>
    <t>Support</t>
  </si>
  <si>
    <t>All spans</t>
  </si>
  <si>
    <t>Redistribution</t>
  </si>
  <si>
    <t>(3.2.2.1)</t>
  </si>
  <si>
    <t>method</t>
  </si>
  <si>
    <t>ßb -</t>
  </si>
  <si>
    <t>ßb +</t>
  </si>
  <si>
    <t>Max M</t>
  </si>
  <si>
    <t>Dead only</t>
  </si>
  <si>
    <t>Total Ultimate Loads</t>
  </si>
  <si>
    <t xml:space="preserve">Span </t>
  </si>
  <si>
    <t>PL1</t>
  </si>
  <si>
    <t>PL2</t>
  </si>
  <si>
    <t>Imposed Reactions</t>
  </si>
  <si>
    <t>SPAN MOMENTS</t>
  </si>
  <si>
    <t>&lt;   &gt;</t>
  </si>
  <si>
    <t>Elastic V</t>
  </si>
  <si>
    <t>All</t>
  </si>
  <si>
    <t>Odd</t>
  </si>
  <si>
    <t>Even</t>
  </si>
  <si>
    <t>Loadings</t>
  </si>
  <si>
    <t>Redist V</t>
  </si>
  <si>
    <t>Elastic X-</t>
  </si>
  <si>
    <t>Redist X-</t>
  </si>
  <si>
    <t>(3.2.2.1b)</t>
  </si>
  <si>
    <t>Max</t>
  </si>
  <si>
    <t>Elastic M</t>
  </si>
  <si>
    <t>Redist M</t>
  </si>
  <si>
    <t xml:space="preserve"> REINFORCEMENT DESIGN</t>
  </si>
  <si>
    <t>SPAN</t>
  </si>
  <si>
    <t>L =</t>
  </si>
  <si>
    <t>h =</t>
  </si>
  <si>
    <t>bw =</t>
  </si>
  <si>
    <t>BS8110</t>
  </si>
  <si>
    <t xml:space="preserve"> MAIN STEEL</t>
  </si>
  <si>
    <t>Ref</t>
  </si>
  <si>
    <t>M/m</t>
  </si>
  <si>
    <t>M/rib</t>
  </si>
  <si>
    <t>kNm</t>
  </si>
  <si>
    <t>- = -</t>
  </si>
  <si>
    <t>bf</t>
  </si>
  <si>
    <t>K'</t>
  </si>
  <si>
    <t>3.4.4.4</t>
  </si>
  <si>
    <t>Fig 3.3</t>
  </si>
  <si>
    <t>z</t>
  </si>
  <si>
    <t>x</t>
  </si>
  <si>
    <t>d'</t>
  </si>
  <si>
    <t>net fsc</t>
  </si>
  <si>
    <t>Excess M</t>
  </si>
  <si>
    <t>As' req</t>
  </si>
  <si>
    <t>fst</t>
  </si>
  <si>
    <t>As req</t>
  </si>
  <si>
    <t>bw/b</t>
  </si>
  <si>
    <t>Min %</t>
  </si>
  <si>
    <t>%</t>
  </si>
  <si>
    <t>Min As</t>
  </si>
  <si>
    <t xml:space="preserve"> At Edge of Solid</t>
  </si>
  <si>
    <t>dmid =</t>
  </si>
  <si>
    <t>d'mid =</t>
  </si>
  <si>
    <t xml:space="preserve"> TENSION STEEL</t>
  </si>
  <si>
    <t>As deflection</t>
  </si>
  <si>
    <t>As to provide</t>
  </si>
  <si>
    <t>Ø</t>
  </si>
  <si>
    <t>= %</t>
  </si>
  <si>
    <t>Clear dist</t>
  </si>
  <si>
    <t>between bars</t>
  </si>
  <si>
    <t>Min S</t>
  </si>
  <si>
    <t>3.12.11.1</t>
  </si>
  <si>
    <t>Max S</t>
  </si>
  <si>
    <t>3.12.11.2.4</t>
  </si>
  <si>
    <t xml:space="preserve"> COMPRESSION STEEL</t>
  </si>
  <si>
    <t>Required</t>
  </si>
  <si>
    <t xml:space="preserve"> DEFLECTION</t>
  </si>
  <si>
    <t>fs</t>
  </si>
  <si>
    <t>Base ratio</t>
  </si>
  <si>
    <t>3.4.6.3/4</t>
  </si>
  <si>
    <t>Tens Mod</t>
  </si>
  <si>
    <t>Table 3.11</t>
  </si>
  <si>
    <t>Comp Mod</t>
  </si>
  <si>
    <t>Perm L/d</t>
  </si>
  <si>
    <t>3.4.6.3</t>
  </si>
  <si>
    <t>Actual L/d</t>
  </si>
  <si>
    <t>3.4.5.1</t>
  </si>
  <si>
    <t>As req increased by</t>
  </si>
  <si>
    <t xml:space="preserve"> RIB SHEAR</t>
  </si>
  <si>
    <t>m</t>
  </si>
  <si>
    <t>V rib</t>
  </si>
  <si>
    <t>kN</t>
  </si>
  <si>
    <t>N/mm</t>
  </si>
  <si>
    <t>Table 3.8</t>
  </si>
  <si>
    <t>3.12.7.1</t>
  </si>
  <si>
    <t>@</t>
  </si>
  <si>
    <t>Spacing</t>
  </si>
  <si>
    <t>for</t>
  </si>
  <si>
    <t>from solid</t>
  </si>
  <si>
    <t>As Dist</t>
  </si>
  <si>
    <t>3.4.5.5</t>
  </si>
  <si>
    <t>As' Dist</t>
  </si>
  <si>
    <t>3.12.7.2</t>
  </si>
  <si>
    <t>LOADING DIAGRAM</t>
  </si>
  <si>
    <t>X</t>
  </si>
  <si>
    <t>MOMENT DIAGRAMS</t>
  </si>
  <si>
    <t>Edge of solid</t>
  </si>
  <si>
    <t>M(e) all</t>
  </si>
  <si>
    <t>M(e) odd</t>
  </si>
  <si>
    <t>M(e) even</t>
  </si>
  <si>
    <t>Beam</t>
  </si>
  <si>
    <t>M(r) all</t>
  </si>
  <si>
    <t>M(r) odd</t>
  </si>
  <si>
    <t>M(r) even</t>
  </si>
  <si>
    <t>70% max</t>
  </si>
  <si>
    <t>70% min</t>
  </si>
  <si>
    <t>Lower bound</t>
  </si>
  <si>
    <t>Upper bound</t>
  </si>
  <si>
    <t>Local X</t>
  </si>
  <si>
    <t>SHEAR FORCE DIAGRAMS</t>
  </si>
  <si>
    <t>V(e) all</t>
  </si>
  <si>
    <t>V(e) odd</t>
  </si>
  <si>
    <t>V(e) even</t>
  </si>
  <si>
    <t>V(r) all</t>
  </si>
  <si>
    <t>V(r) odd</t>
  </si>
  <si>
    <t>V(r) even</t>
  </si>
  <si>
    <r>
      <t>g</t>
    </r>
    <r>
      <rPr>
        <sz val="10"/>
        <rFont val="Technical"/>
        <family val="4"/>
      </rPr>
      <t>m</t>
    </r>
  </si>
  <si>
    <t>Web Mres</t>
  </si>
  <si>
    <t>Flange Mres</t>
  </si>
  <si>
    <t>Table 3.25</t>
  </si>
  <si>
    <t>Table 3.7</t>
  </si>
  <si>
    <t>Table 3.10</t>
  </si>
  <si>
    <t>Eqn 3</t>
  </si>
  <si>
    <t>Eqn 8</t>
  </si>
  <si>
    <t>V cl</t>
  </si>
  <si>
    <t>(v-vc)bv</t>
  </si>
  <si>
    <t>distance from cl</t>
  </si>
  <si>
    <t>3.4.5.10</t>
  </si>
  <si>
    <t>distance from c/L</t>
  </si>
  <si>
    <t>addn. solid</t>
  </si>
  <si>
    <t>Span 2</t>
  </si>
  <si>
    <t>Span 3</t>
  </si>
  <si>
    <t>Span 4</t>
  </si>
  <si>
    <t>Span 5</t>
  </si>
  <si>
    <t>Span 6</t>
  </si>
  <si>
    <r>
      <t xml:space="preserve"> ENTER DATA IN </t>
    </r>
    <r>
      <rPr>
        <sz val="12"/>
        <color indexed="12"/>
        <rFont val="Marker"/>
        <family val="2"/>
      </rPr>
      <t>BLUE CELLS</t>
    </r>
    <r>
      <rPr>
        <sz val="12"/>
        <color indexed="17"/>
        <rFont val="Marker"/>
        <family val="2"/>
      </rPr>
      <t xml:space="preserve"> ONLY.</t>
    </r>
  </si>
  <si>
    <r>
      <t xml:space="preserve"> </t>
    </r>
    <r>
      <rPr>
        <sz val="12"/>
        <color indexed="10"/>
        <rFont val="Marker"/>
        <family val="2"/>
      </rPr>
      <t>RED MESSAGES</t>
    </r>
    <r>
      <rPr>
        <sz val="12"/>
        <color indexed="17"/>
        <rFont val="Marker"/>
        <family val="2"/>
      </rPr>
      <t xml:space="preserve"> INDICATE ENTRY ERRORS.</t>
    </r>
  </si>
  <si>
    <t>Version</t>
  </si>
  <si>
    <t>Action</t>
  </si>
  <si>
    <r>
      <t xml:space="preserve"> REACTIONS </t>
    </r>
    <r>
      <rPr>
        <sz val="12"/>
        <rFont val="Tekton"/>
        <family val="2"/>
      </rPr>
      <t>(kN/m)</t>
    </r>
  </si>
  <si>
    <r>
      <t xml:space="preserve"> ADJUST REDISTRIBUTION ON </t>
    </r>
    <r>
      <rPr>
        <sz val="12"/>
        <rFont val="Marker"/>
        <family val="2"/>
      </rPr>
      <t>ACTIONS</t>
    </r>
  </si>
  <si>
    <r>
      <t xml:space="preserve"> ADJUST REINFORCEMENT ON </t>
    </r>
    <r>
      <rPr>
        <sz val="12"/>
        <rFont val="Marker"/>
        <family val="2"/>
      </rPr>
      <t>SPANS</t>
    </r>
  </si>
  <si>
    <t xml:space="preserve"> Section</t>
  </si>
  <si>
    <t xml:space="preserve"> LOCATION</t>
  </si>
  <si>
    <t xml:space="preserve">Supports from grid </t>
  </si>
  <si>
    <t>to grid</t>
  </si>
  <si>
    <t>1</t>
  </si>
  <si>
    <t>5a</t>
  </si>
  <si>
    <r>
      <t xml:space="preserve">L </t>
    </r>
    <r>
      <rPr>
        <sz val="11"/>
        <rFont val="Tekton"/>
        <family val="2"/>
      </rPr>
      <t>(m)</t>
    </r>
  </si>
  <si>
    <r>
      <t xml:space="preserve">H </t>
    </r>
    <r>
      <rPr>
        <sz val="11"/>
        <rFont val="Tekton"/>
        <family val="2"/>
      </rPr>
      <t>(mm)</t>
    </r>
  </si>
  <si>
    <r>
      <t xml:space="preserve">Solid </t>
    </r>
    <r>
      <rPr>
        <sz val="11"/>
        <rFont val="Tekton"/>
        <family val="2"/>
      </rPr>
      <t>(mm)</t>
    </r>
  </si>
  <si>
    <t>UDLs (kN/m²)    PLs (kN/m)    Position (m)</t>
  </si>
  <si>
    <t>Characteristic Dead</t>
  </si>
  <si>
    <t>Max Imposed</t>
  </si>
  <si>
    <t>Min Imposed</t>
  </si>
  <si>
    <t>Dead</t>
  </si>
  <si>
    <t>PL's</t>
  </si>
  <si>
    <t>UDL's</t>
  </si>
  <si>
    <t>Supports</t>
  </si>
  <si>
    <t xml:space="preserve"> Adjust arrangement until checks</t>
  </si>
  <si>
    <t xml:space="preserve"> at bottom are all OK.</t>
  </si>
  <si>
    <t>GRIDS</t>
  </si>
  <si>
    <r>
      <t xml:space="preserve"> ADJUST REDISTRIBUTION, then GOTO '</t>
    </r>
    <r>
      <rPr>
        <sz val="12"/>
        <rFont val="Marker"/>
        <family val="2"/>
      </rPr>
      <t>SPANS</t>
    </r>
    <r>
      <rPr>
        <sz val="12"/>
        <color indexed="17"/>
        <rFont val="Marker"/>
        <family val="2"/>
      </rPr>
      <t>'</t>
    </r>
  </si>
  <si>
    <t>(Legs - Spacing - Distance)</t>
  </si>
  <si>
    <t xml:space="preserve">(As increased by </t>
  </si>
  <si>
    <t xml:space="preserve"> Residual</t>
  </si>
  <si>
    <t>Min</t>
  </si>
  <si>
    <t>As resid</t>
  </si>
  <si>
    <t>Ø extra</t>
  </si>
  <si>
    <t>min No</t>
  </si>
  <si>
    <t>Ø in rib</t>
  </si>
  <si>
    <t>/rib</t>
  </si>
  <si>
    <t>LINKS</t>
  </si>
  <si>
    <r>
      <t xml:space="preserve">Total rebar per rib, </t>
    </r>
    <r>
      <rPr>
        <i/>
        <sz val="12"/>
        <color indexed="17"/>
        <rFont val="Tekton"/>
        <family val="2"/>
      </rPr>
      <t>excluding mesh</t>
    </r>
    <r>
      <rPr>
        <sz val="12"/>
        <rFont val="Tekton"/>
        <family val="2"/>
      </rPr>
      <t xml:space="preserve"> (kg)</t>
    </r>
  </si>
  <si>
    <t>8</t>
  </si>
  <si>
    <t>NOTE: Left Ø's defined in Span 1</t>
  </si>
  <si>
    <t>NOTE: Left Ø's defined in Span 2</t>
  </si>
  <si>
    <t>NOTE: Left Ø's defined in Span 3</t>
  </si>
  <si>
    <t>NOTE: Left Ø's defined in Span 4</t>
  </si>
  <si>
    <t>NOTE: Left Ø's defined in Span 5</t>
  </si>
  <si>
    <t>Min Main bar Ø</t>
  </si>
  <si>
    <t>Max v/vc</t>
  </si>
  <si>
    <t>NO LINKS</t>
  </si>
  <si>
    <t>UDLs at solid</t>
  </si>
  <si>
    <t>(for shear)</t>
  </si>
  <si>
    <t>PL left</t>
  </si>
  <si>
    <t>PL right</t>
  </si>
  <si>
    <r>
      <t>As T</t>
    </r>
    <r>
      <rPr>
        <b/>
        <sz val="12"/>
        <color indexed="17"/>
        <rFont val="Tekton"/>
        <family val="2"/>
      </rPr>
      <t xml:space="preserve"> at centre indicates hogging M at 0.25L.</t>
    </r>
  </si>
  <si>
    <t>YES</t>
  </si>
  <si>
    <t>Nominal link spacing =</t>
  </si>
  <si>
    <t>Advisory Group</t>
  </si>
  <si>
    <t>3rd Floor slab</t>
  </si>
  <si>
    <t>REINFORCED CONCRETE COUNCIL</t>
  </si>
  <si>
    <t>R68</t>
  </si>
  <si>
    <t>chg</t>
  </si>
  <si>
    <t>Use links?</t>
  </si>
  <si>
    <t>APPROXIMATE WEIGHT of REINFORCEMENT</t>
  </si>
  <si>
    <t>ANALYSIS I</t>
  </si>
  <si>
    <t>ANALYSIS II</t>
  </si>
  <si>
    <t>ANALYSIS III</t>
  </si>
  <si>
    <t>ANALYSIS IV</t>
  </si>
  <si>
    <t>ANALYSIS V</t>
  </si>
  <si>
    <t>CALCS I</t>
  </si>
  <si>
    <t>CALCS II</t>
  </si>
  <si>
    <t>SPAN 1 cont</t>
  </si>
  <si>
    <t>CALCS III</t>
  </si>
  <si>
    <t>SPAN 2 cont</t>
  </si>
  <si>
    <t>SPAN 3 cont</t>
  </si>
  <si>
    <t>CALCS IV</t>
  </si>
  <si>
    <t>CALCS V</t>
  </si>
  <si>
    <t>SPAN 4 cont</t>
  </si>
  <si>
    <t>CALCS VI</t>
  </si>
  <si>
    <t>CALCS VII</t>
  </si>
  <si>
    <t>SPAN 5 cont</t>
  </si>
  <si>
    <t>SPAN 6 cont</t>
  </si>
  <si>
    <t>CALCS IX</t>
  </si>
  <si>
    <t>GRAPH DATA I</t>
  </si>
  <si>
    <t>GRAPH DATA II</t>
  </si>
  <si>
    <t>~~~</t>
  </si>
  <si>
    <t>~</t>
  </si>
  <si>
    <t>@col face</t>
  </si>
  <si>
    <t>Disclaimer</t>
  </si>
  <si>
    <t>Status of spreadsheet</t>
  </si>
  <si>
    <t>Spreadsheets to BS 8110</t>
  </si>
  <si>
    <t>Public release version.</t>
  </si>
  <si>
    <r>
      <t xml:space="preserve">Revision history  </t>
    </r>
    <r>
      <rPr>
        <b/>
        <sz val="12"/>
        <color indexed="60"/>
        <rFont val="Tekton"/>
        <family val="2"/>
      </rPr>
      <t>RCC32 Ribbed Slabs (A &amp; D)</t>
    </r>
  </si>
  <si>
    <r>
      <t xml:space="preserve"> BENDING MOMENT DIAGRAMS </t>
    </r>
    <r>
      <rPr>
        <sz val="12"/>
        <rFont val="Tekton"/>
        <family val="2"/>
      </rPr>
      <t>(kNm/m)</t>
    </r>
  </si>
  <si>
    <r>
      <t xml:space="preserve"> SHEAR FORCE DIAGRAMS </t>
    </r>
    <r>
      <rPr>
        <sz val="12"/>
        <rFont val="Tekton"/>
        <family val="2"/>
      </rPr>
      <t>(kN/m)</t>
    </r>
  </si>
  <si>
    <t>All figures approximate - see User Guide.</t>
  </si>
  <si>
    <r>
      <t xml:space="preserve">First public release. 
 Includes </t>
    </r>
    <r>
      <rPr>
        <sz val="11"/>
        <rFont val="Symbol"/>
        <family val="1"/>
      </rPr>
      <t>b</t>
    </r>
    <r>
      <rPr>
        <sz val="11"/>
        <rFont val="Tekton"/>
        <family val="2"/>
      </rPr>
      <t xml:space="preserve"> version comments </t>
    </r>
  </si>
  <si>
    <t>RCC32 v1.0</t>
  </si>
  <si>
    <t>RIBBED SLABS to BS 8110:1997 (Analysis &amp; Design)</t>
  </si>
  <si>
    <r>
      <t>COVERS</t>
    </r>
    <r>
      <rPr>
        <sz val="12"/>
        <rFont val="Tekton"/>
        <family val="2"/>
      </rPr>
      <t xml:space="preserve"> (to links, or if no links, to reinf)</t>
    </r>
  </si>
  <si>
    <t>-</t>
  </si>
  <si>
    <r>
      <t>K</t>
    </r>
    <r>
      <rPr>
        <sz val="11"/>
        <color indexed="60"/>
        <rFont val="Tekton"/>
        <family val="2"/>
      </rPr>
      <t xml:space="preserve">(nife), </t>
    </r>
    <r>
      <rPr>
        <b/>
        <sz val="11"/>
        <color indexed="17"/>
        <rFont val="Tekton"/>
        <family val="2"/>
      </rPr>
      <t>C</t>
    </r>
    <r>
      <rPr>
        <sz val="11"/>
        <color indexed="60"/>
        <rFont val="Tekton"/>
        <family val="2"/>
      </rPr>
      <t>(antilever) or</t>
    </r>
    <r>
      <rPr>
        <sz val="11"/>
        <color indexed="12"/>
        <rFont val="Tekton"/>
        <family val="2"/>
      </rPr>
      <t xml:space="preserve"> </t>
    </r>
    <r>
      <rPr>
        <b/>
        <sz val="11"/>
        <color indexed="17"/>
        <rFont val="Tekton"/>
        <family val="2"/>
      </rPr>
      <t>E</t>
    </r>
    <r>
      <rPr>
        <sz val="11"/>
        <color indexed="60"/>
        <rFont val="Tekton"/>
        <family val="2"/>
      </rPr>
      <t>(ncastre)</t>
    </r>
  </si>
  <si>
    <t>rmw</t>
  </si>
  <si>
    <t>RCC32 v1.1</t>
  </si>
  <si>
    <t>Single span deflection base ratio added</t>
  </si>
  <si>
    <t>RCC32 v1.2</t>
  </si>
  <si>
    <t>Deflection base ratio bug for spans &gt;10m fixed at Bar!G74, G164 etc.</t>
  </si>
  <si>
    <t>RCC32 v1.3</t>
  </si>
  <si>
    <t>3.12.6.1</t>
  </si>
  <si>
    <t>Compresion steel mod factor now based on bf, and in spans, x limit of hf/0.9 checked.</t>
  </si>
  <si>
    <t>RCC32 v1.4</t>
  </si>
  <si>
    <t>Warning message corrected in MAIN:L30 etc</t>
  </si>
  <si>
    <t>RCC32 v1.5</t>
  </si>
  <si>
    <t>Deflection base ratio bug for spans &gt;10m fixed at Bar!G74, E164 etc (v1.2 fix had reverted).</t>
  </si>
  <si>
    <r>
      <t>All advice or information from the British Cement Association and/or Reinforced Concrete Council is intended for those who will evaluate the significance and limitations of its contents and take responsibility for its use and application.  No liability (including that for negligence) for any loss resulting from such advice or information is accepted by the BCA, RCC or their subcontractors, suppliers or advisors.  Users should note that all BCA software and publications are subject to revision from time to time and should therefore ensure that they are in possession of the latest version.
This spreadsheet should be used in compliance with the accompanying publication '</t>
    </r>
    <r>
      <rPr>
        <i/>
        <sz val="11"/>
        <rFont val="Tekton"/>
        <family val="2"/>
      </rPr>
      <t>Spreadsheets for concrete design to BS 8110 and EC2'</t>
    </r>
    <r>
      <rPr>
        <sz val="11"/>
        <rFont val="Tekton"/>
        <family val="2"/>
      </rPr>
      <t xml:space="preserve"> available from British Cement Association, Telford Avenue, Crowthorne, Berkshire RG45 6YS. </t>
    </r>
  </si>
  <si>
    <t>This spreadsheet is shareware. It may be distributed freely, but may not be used for commercial purposes until the user has registered with the RCC.</t>
  </si>
  <si>
    <r>
      <t>Size</t>
    </r>
    <r>
      <rPr>
        <sz val="14"/>
        <color indexed="12"/>
        <rFont val="Tekton"/>
        <family val="2"/>
      </rPr>
      <t xml:space="preserve"> </t>
    </r>
    <r>
      <rPr>
        <sz val="12"/>
        <color indexed="12"/>
        <rFont val="Tekton"/>
        <family val="2"/>
      </rPr>
      <t>(kB)</t>
    </r>
  </si>
  <si>
    <t>RCC32 v1.6</t>
  </si>
  <si>
    <t>Similar correction at BAR!G563.</t>
  </si>
  <si>
    <t>Version 2 enhancements</t>
  </si>
  <si>
    <t>RCC32 v2.0</t>
  </si>
  <si>
    <t>C</t>
  </si>
  <si>
    <t>RCC32 v2.1</t>
  </si>
  <si>
    <t>Correction for cantilever at span 1.</t>
  </si>
  <si>
    <r>
      <t xml:space="preserve">Originated from  </t>
    </r>
    <r>
      <rPr>
        <b/>
        <sz val="8"/>
        <color indexed="10"/>
        <rFont val="Tekton"/>
        <family val="2"/>
      </rPr>
      <t>RCC32.xls</t>
    </r>
  </si>
  <si>
    <t>RCC32 v2.2</t>
  </si>
  <si>
    <t>DETR logo replaced by DTI.</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</si>
</sst>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lt;36526]dd\-mmm\-yy;dd\-mmm\-yyyy"/>
    <numFmt numFmtId="179" formatCode="0.000"/>
    <numFmt numFmtId="180" formatCode="[&lt;36526]mmm\-yy;mmm\-yyyy"/>
    <numFmt numFmtId="181" formatCode="0.0"/>
    <numFmt numFmtId="182" formatCode="0.0%"/>
    <numFmt numFmtId="183" formatCode="0.0000"/>
    <numFmt numFmtId="184" formatCode="#.00\ \k\g/\m\²"/>
    <numFmt numFmtId="185" formatCode="\+\+\+\+\+\+\+\+;\-\-\-\-\-\-\-\-;."/>
    <numFmt numFmtId="186" formatCode="0.00;\-0;;@"/>
    <numFmt numFmtId="187" formatCode="0.000;\-0;;@"/>
    <numFmt numFmtId="188" formatCode="#,##0.000"/>
    <numFmt numFmtId="189" formatCode="0.0;\-0;;@"/>
    <numFmt numFmtId="190" formatCode="0;\-0;;@"/>
    <numFmt numFmtId="191" formatCode="0.0;\-0.0;;@"/>
  </numFmts>
  <fonts count="114">
    <font>
      <sz val="10"/>
      <name val="Arial"/>
      <family val="0"/>
    </font>
    <font>
      <sz val="12"/>
      <name val="Courier New"/>
      <family val="0"/>
    </font>
    <font>
      <sz val="14"/>
      <name val="Courier New"/>
      <family val="0"/>
    </font>
    <font>
      <sz val="20"/>
      <name val="Courier New"/>
      <family val="0"/>
    </font>
    <font>
      <sz val="14"/>
      <name val="Arial"/>
      <family val="0"/>
    </font>
    <font>
      <sz val="10"/>
      <color indexed="18"/>
      <name val="Arial"/>
      <family val="0"/>
    </font>
    <font>
      <sz val="18"/>
      <color indexed="18"/>
      <name val="Arial"/>
      <family val="0"/>
    </font>
    <font>
      <sz val="12"/>
      <name val="Arial"/>
      <family val="0"/>
    </font>
    <font>
      <sz val="16"/>
      <name val="Courier New"/>
      <family val="0"/>
    </font>
    <font>
      <sz val="12"/>
      <name val="Challenge Extra Bold"/>
      <family val="0"/>
    </font>
    <font>
      <sz val="14"/>
      <color indexed="12"/>
      <name val="Courier New"/>
      <family val="0"/>
    </font>
    <font>
      <sz val="12"/>
      <color indexed="12"/>
      <name val="Courier New"/>
      <family val="0"/>
    </font>
    <font>
      <sz val="12"/>
      <color indexed="16"/>
      <name val="Courier New"/>
      <family val="0"/>
    </font>
    <font>
      <b/>
      <sz val="12"/>
      <name val="Courier New"/>
      <family val="0"/>
    </font>
    <font>
      <sz val="11"/>
      <color indexed="18"/>
      <name val="Impress BT"/>
      <family val="0"/>
    </font>
    <font>
      <b/>
      <sz val="12"/>
      <color indexed="10"/>
      <name val="Courier New"/>
      <family val="0"/>
    </font>
    <font>
      <sz val="12"/>
      <color indexed="18"/>
      <name val="Exotc350 DmBd BT"/>
      <family val="0"/>
    </font>
    <font>
      <b/>
      <sz val="12"/>
      <color indexed="16"/>
      <name val="Exotc350 DmBd BT"/>
      <family val="0"/>
    </font>
    <font>
      <sz val="10"/>
      <name val="Challenge Extra Bold"/>
      <family val="0"/>
    </font>
    <font>
      <sz val="12"/>
      <color indexed="17"/>
      <name val="Courier New"/>
      <family val="0"/>
    </font>
    <font>
      <sz val="12"/>
      <color indexed="14"/>
      <name val="Courier New"/>
      <family val="0"/>
    </font>
    <font>
      <b/>
      <sz val="14"/>
      <name val="Courier New"/>
      <family val="0"/>
    </font>
    <font>
      <b/>
      <sz val="12"/>
      <color indexed="18"/>
      <name val="Courier New"/>
      <family val="0"/>
    </font>
    <font>
      <sz val="8"/>
      <name val="Arial"/>
      <family val="0"/>
    </font>
    <font>
      <sz val="24"/>
      <name val="Courier New"/>
      <family val="0"/>
    </font>
    <font>
      <b/>
      <sz val="12"/>
      <name val="Exotc350 DmBd BT"/>
      <family val="0"/>
    </font>
    <font>
      <b/>
      <sz val="12"/>
      <color indexed="17"/>
      <name val="Courier New"/>
      <family val="0"/>
    </font>
    <font>
      <b/>
      <sz val="12"/>
      <color indexed="12"/>
      <name val="Courier New"/>
      <family val="0"/>
    </font>
    <font>
      <sz val="14"/>
      <color indexed="14"/>
      <name val="Challenge Extra Bold"/>
      <family val="0"/>
    </font>
    <font>
      <sz val="10"/>
      <name val="Technical"/>
      <family val="4"/>
    </font>
    <font>
      <sz val="12"/>
      <name val="Symbol"/>
      <family val="1"/>
    </font>
    <font>
      <sz val="12"/>
      <name val="Tekton"/>
      <family val="2"/>
    </font>
    <font>
      <sz val="14"/>
      <color indexed="12"/>
      <name val="Marker"/>
      <family val="2"/>
    </font>
    <font>
      <sz val="12"/>
      <color indexed="17"/>
      <name val="Marker"/>
      <family val="2"/>
    </font>
    <font>
      <sz val="12"/>
      <color indexed="12"/>
      <name val="Marker"/>
      <family val="2"/>
    </font>
    <font>
      <sz val="10"/>
      <name val="Tekton"/>
      <family val="2"/>
    </font>
    <font>
      <sz val="8"/>
      <name val="Tekton"/>
      <family val="2"/>
    </font>
    <font>
      <sz val="12"/>
      <name val="Marker"/>
      <family val="2"/>
    </font>
    <font>
      <sz val="10"/>
      <name val="Marker"/>
      <family val="2"/>
    </font>
    <font>
      <sz val="10"/>
      <color indexed="18"/>
      <name val="Marker"/>
      <family val="2"/>
    </font>
    <font>
      <sz val="12"/>
      <color indexed="10"/>
      <name val="Marker"/>
      <family val="2"/>
    </font>
    <font>
      <sz val="11"/>
      <color indexed="10"/>
      <name val="Marker"/>
      <family val="2"/>
    </font>
    <font>
      <u val="single"/>
      <sz val="12"/>
      <color indexed="12"/>
      <name val="Tekton"/>
      <family val="2"/>
    </font>
    <font>
      <sz val="8"/>
      <name val="Marker"/>
      <family val="2"/>
    </font>
    <font>
      <sz val="14"/>
      <name val="Marker"/>
      <family val="2"/>
    </font>
    <font>
      <sz val="14"/>
      <name val="Tekton"/>
      <family val="2"/>
    </font>
    <font>
      <sz val="11"/>
      <name val="Marker"/>
      <family val="2"/>
    </font>
    <font>
      <sz val="7"/>
      <name val="Marker"/>
      <family val="2"/>
    </font>
    <font>
      <sz val="11"/>
      <color indexed="17"/>
      <name val="Marker"/>
      <family val="2"/>
    </font>
    <font>
      <u val="single"/>
      <sz val="12"/>
      <name val="Tekton"/>
      <family val="2"/>
    </font>
    <font>
      <sz val="12"/>
      <color indexed="12"/>
      <name val="Tekton"/>
      <family val="2"/>
    </font>
    <font>
      <sz val="12"/>
      <color indexed="9"/>
      <name val="Tekton"/>
      <family val="2"/>
    </font>
    <font>
      <sz val="16"/>
      <name val="Marker"/>
      <family val="2"/>
    </font>
    <font>
      <sz val="11"/>
      <color indexed="18"/>
      <name val="Marker"/>
      <family val="2"/>
    </font>
    <font>
      <sz val="9"/>
      <color indexed="18"/>
      <name val="Marker"/>
      <family val="2"/>
    </font>
    <font>
      <sz val="12"/>
      <color indexed="17"/>
      <name val="Tekton"/>
      <family val="2"/>
    </font>
    <font>
      <sz val="10"/>
      <color indexed="10"/>
      <name val="Marker"/>
      <family val="2"/>
    </font>
    <font>
      <b/>
      <sz val="14"/>
      <color indexed="16"/>
      <name val="Marker"/>
      <family val="2"/>
    </font>
    <font>
      <sz val="12"/>
      <color indexed="16"/>
      <name val="Tekton"/>
      <family val="2"/>
    </font>
    <font>
      <sz val="12"/>
      <color indexed="14"/>
      <name val="Tekton"/>
      <family val="2"/>
    </font>
    <font>
      <sz val="11"/>
      <color indexed="16"/>
      <name val="Marker"/>
      <family val="2"/>
    </font>
    <font>
      <sz val="12"/>
      <color indexed="10"/>
      <name val="Tekton"/>
      <family val="2"/>
    </font>
    <font>
      <b/>
      <sz val="12"/>
      <name val="Tekton"/>
      <family val="2"/>
    </font>
    <font>
      <sz val="11"/>
      <color indexed="12"/>
      <name val="Marker"/>
      <family val="2"/>
    </font>
    <font>
      <b/>
      <sz val="12"/>
      <color indexed="14"/>
      <name val="Tekton"/>
      <family val="2"/>
    </font>
    <font>
      <sz val="14"/>
      <color indexed="60"/>
      <name val="Marker"/>
      <family val="2"/>
    </font>
    <font>
      <b/>
      <sz val="12"/>
      <color indexed="17"/>
      <name val="Tekton"/>
      <family val="2"/>
    </font>
    <font>
      <b/>
      <sz val="12"/>
      <color indexed="10"/>
      <name val="Tekton"/>
      <family val="2"/>
    </font>
    <font>
      <b/>
      <sz val="8"/>
      <color indexed="10"/>
      <name val="Tekton"/>
      <family val="2"/>
    </font>
    <font>
      <i/>
      <sz val="12"/>
      <name val="Tekton"/>
      <family val="2"/>
    </font>
    <font>
      <sz val="10"/>
      <name val="Courier New"/>
      <family val="0"/>
    </font>
    <font>
      <sz val="12"/>
      <color indexed="60"/>
      <name val="Tekton"/>
      <family val="2"/>
    </font>
    <font>
      <sz val="11"/>
      <name val="Tekton"/>
      <family val="2"/>
    </font>
    <font>
      <sz val="14"/>
      <color indexed="16"/>
      <name val="Marker"/>
      <family val="2"/>
    </font>
    <font>
      <sz val="4.25"/>
      <name val="Arial"/>
      <family val="0"/>
    </font>
    <font>
      <b/>
      <sz val="12"/>
      <color indexed="60"/>
      <name val="Tekton"/>
      <family val="2"/>
    </font>
    <font>
      <b/>
      <sz val="12"/>
      <color indexed="12"/>
      <name val="Tekton"/>
      <family val="2"/>
    </font>
    <font>
      <u val="single"/>
      <sz val="12"/>
      <color indexed="12"/>
      <name val="Marker"/>
      <family val="2"/>
    </font>
    <font>
      <sz val="12"/>
      <color indexed="60"/>
      <name val="Marker"/>
      <family val="2"/>
    </font>
    <font>
      <sz val="11"/>
      <color indexed="9"/>
      <name val="Marker"/>
      <family val="2"/>
    </font>
    <font>
      <b/>
      <sz val="16"/>
      <color indexed="10"/>
      <name val="Tekton"/>
      <family val="2"/>
    </font>
    <font>
      <u val="single"/>
      <sz val="12"/>
      <color indexed="17"/>
      <name val="Marker"/>
      <family val="2"/>
    </font>
    <font>
      <sz val="10"/>
      <color indexed="17"/>
      <name val="Arial"/>
      <family val="2"/>
    </font>
    <font>
      <i/>
      <sz val="12"/>
      <color indexed="17"/>
      <name val="Tekton"/>
      <family val="2"/>
    </font>
    <font>
      <b/>
      <sz val="12"/>
      <color indexed="8"/>
      <name val="Tekton"/>
      <family val="2"/>
    </font>
    <font>
      <b/>
      <sz val="12"/>
      <color indexed="12"/>
      <name val="Gill Sans"/>
      <family val="2"/>
    </font>
    <font>
      <sz val="11"/>
      <name val="Courier New"/>
      <family val="0"/>
    </font>
    <font>
      <b/>
      <sz val="14"/>
      <name val="Marker"/>
      <family val="2"/>
    </font>
    <font>
      <b/>
      <u val="single"/>
      <sz val="12"/>
      <color indexed="12"/>
      <name val="Tekton"/>
      <family val="2"/>
    </font>
    <font>
      <u val="single"/>
      <sz val="12"/>
      <color indexed="18"/>
      <name val="Tekton"/>
      <family val="2"/>
    </font>
    <font>
      <b/>
      <sz val="11"/>
      <name val="Tekton"/>
      <family val="2"/>
    </font>
    <font>
      <i/>
      <sz val="11"/>
      <name val="Tekton"/>
      <family val="2"/>
    </font>
    <font>
      <sz val="11"/>
      <name val="Arial"/>
      <family val="0"/>
    </font>
    <font>
      <sz val="11"/>
      <name val="Symbol"/>
      <family val="1"/>
    </font>
    <font>
      <sz val="12"/>
      <color indexed="61"/>
      <name val="Marker"/>
      <family val="2"/>
    </font>
    <font>
      <i/>
      <sz val="10"/>
      <color indexed="10"/>
      <name val="Tekton"/>
      <family val="2"/>
    </font>
    <font>
      <sz val="14"/>
      <color indexed="61"/>
      <name val="Marker"/>
      <family val="2"/>
    </font>
    <font>
      <b/>
      <sz val="12"/>
      <color indexed="61"/>
      <name val="Tekton"/>
      <family val="2"/>
    </font>
    <font>
      <b/>
      <sz val="14"/>
      <color indexed="61"/>
      <name val="Courier New"/>
      <family val="0"/>
    </font>
    <font>
      <sz val="11"/>
      <color indexed="57"/>
      <name val="Marker"/>
      <family val="2"/>
    </font>
    <font>
      <sz val="12"/>
      <color indexed="57"/>
      <name val="Tekton"/>
      <family val="2"/>
    </font>
    <font>
      <sz val="12"/>
      <color indexed="57"/>
      <name val="Marker"/>
      <family val="2"/>
    </font>
    <font>
      <sz val="14"/>
      <color indexed="20"/>
      <name val="Marker"/>
      <family val="2"/>
    </font>
    <font>
      <b/>
      <sz val="14"/>
      <color indexed="20"/>
      <name val="Courier New"/>
      <family val="0"/>
    </font>
    <font>
      <sz val="10"/>
      <color indexed="57"/>
      <name val="Tekton"/>
      <family val="2"/>
    </font>
    <font>
      <sz val="11"/>
      <color indexed="8"/>
      <name val="Tekton"/>
      <family val="2"/>
    </font>
    <font>
      <sz val="11"/>
      <color indexed="61"/>
      <name val="Marker"/>
      <family val="2"/>
    </font>
    <font>
      <b/>
      <sz val="11"/>
      <color indexed="17"/>
      <name val="Tekton"/>
      <family val="2"/>
    </font>
    <font>
      <sz val="11"/>
      <color indexed="60"/>
      <name val="Tekton"/>
      <family val="2"/>
    </font>
    <font>
      <sz val="11"/>
      <color indexed="12"/>
      <name val="Tekton"/>
      <family val="2"/>
    </font>
    <font>
      <b/>
      <sz val="14"/>
      <color indexed="10"/>
      <name val="Arial Narrow"/>
      <family val="2"/>
    </font>
    <font>
      <sz val="14"/>
      <color indexed="12"/>
      <name val="Tekton"/>
      <family val="2"/>
    </font>
    <font>
      <b/>
      <sz val="10"/>
      <color indexed="43"/>
      <name val="Courier New"/>
      <family val="3"/>
    </font>
    <font>
      <sz val="14"/>
      <name val="Challenge Extra Bold"/>
      <family val="0"/>
    </font>
  </fonts>
  <fills count="30">
    <fill>
      <patternFill/>
    </fill>
    <fill>
      <patternFill patternType="gray125"/>
    </fill>
    <fill>
      <patternFill patternType="solid">
        <fgColor indexed="9"/>
        <bgColor indexed="64"/>
      </patternFill>
    </fill>
    <fill>
      <patternFill patternType="gray125">
        <fgColor indexed="13"/>
        <bgColor indexed="9"/>
      </patternFill>
    </fill>
    <fill>
      <patternFill patternType="gray125">
        <fgColor indexed="12"/>
        <bgColor indexed="9"/>
      </patternFill>
    </fill>
    <fill>
      <patternFill patternType="gray125">
        <fgColor indexed="11"/>
        <bgColor indexed="9"/>
      </patternFill>
    </fill>
    <fill>
      <patternFill patternType="gray125">
        <fgColor indexed="10"/>
        <bgColor indexed="9"/>
      </patternFill>
    </fill>
    <fill>
      <patternFill patternType="gray125">
        <fgColor indexed="10"/>
        <bgColor indexed="13"/>
      </patternFill>
    </fill>
    <fill>
      <patternFill patternType="gray125">
        <fgColor indexed="15"/>
        <bgColor indexed="9"/>
      </patternFill>
    </fill>
    <fill>
      <patternFill patternType="gray125">
        <fgColor indexed="14"/>
        <bgColor indexed="9"/>
      </patternFill>
    </fill>
    <fill>
      <patternFill patternType="solid">
        <fgColor indexed="17"/>
        <bgColor indexed="64"/>
      </patternFill>
    </fill>
    <fill>
      <patternFill patternType="gray125">
        <fgColor indexed="20"/>
        <bgColor indexed="9"/>
      </patternFill>
    </fill>
    <fill>
      <patternFill patternType="gray125">
        <fgColor indexed="17"/>
        <bgColor indexed="9"/>
      </patternFill>
    </fill>
    <fill>
      <patternFill patternType="solid">
        <fgColor indexed="47"/>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lightGray">
        <fgColor indexed="22"/>
        <bgColor indexed="47"/>
      </patternFill>
    </fill>
    <fill>
      <patternFill patternType="solid">
        <fgColor indexed="9"/>
        <bgColor indexed="64"/>
      </patternFill>
    </fill>
    <fill>
      <patternFill patternType="solid">
        <fgColor indexed="9"/>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80">
    <border>
      <left/>
      <right/>
      <top/>
      <bottom/>
      <diagonal/>
    </border>
    <border>
      <left style="thin"/>
      <right style="thin"/>
      <top>
        <color indexed="63"/>
      </top>
      <bottom>
        <color indexed="63"/>
      </bottom>
    </border>
    <border>
      <left style="double"/>
      <right>
        <color indexed="63"/>
      </right>
      <top>
        <color indexed="63"/>
      </top>
      <bottom style="thin"/>
    </border>
    <border>
      <left style="double"/>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color indexed="63"/>
      </right>
      <top style="double"/>
      <bottom>
        <color indexed="63"/>
      </bottom>
    </border>
    <border>
      <left style="thin"/>
      <right style="double"/>
      <top style="thin"/>
      <bottom>
        <color indexed="63"/>
      </bottom>
    </border>
    <border>
      <left>
        <color indexed="63"/>
      </left>
      <right>
        <color indexed="63"/>
      </right>
      <top>
        <color indexed="63"/>
      </top>
      <bottom style="double"/>
    </border>
    <border>
      <left style="thin"/>
      <right style="double"/>
      <top>
        <color indexed="63"/>
      </top>
      <bottom>
        <color indexed="63"/>
      </bottom>
    </border>
    <border>
      <left style="thin"/>
      <right style="thin"/>
      <top>
        <color indexed="63"/>
      </top>
      <bottom style="double"/>
    </border>
    <border>
      <left>
        <color indexed="63"/>
      </left>
      <right style="double"/>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thin"/>
      <right style="double"/>
      <top>
        <color indexed="63"/>
      </top>
      <bottom style="thin"/>
    </border>
    <border>
      <left style="thin"/>
      <right>
        <color indexed="63"/>
      </right>
      <top>
        <color indexed="63"/>
      </top>
      <bottom style="double"/>
    </border>
    <border>
      <left style="thin"/>
      <right style="double"/>
      <top>
        <color indexed="63"/>
      </top>
      <bottom style="double"/>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indexed="55"/>
      </right>
      <top style="thin"/>
      <bottom>
        <color indexed="63"/>
      </bottom>
    </border>
    <border>
      <left>
        <color indexed="63"/>
      </left>
      <right style="thick">
        <color indexed="55"/>
      </right>
      <top>
        <color indexed="63"/>
      </top>
      <bottom style="thin"/>
    </border>
    <border>
      <left style="thick">
        <color indexed="55"/>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55"/>
      </left>
      <right>
        <color indexed="63"/>
      </right>
      <top style="double"/>
      <bottom>
        <color indexed="63"/>
      </bottom>
    </border>
    <border>
      <left>
        <color indexed="63"/>
      </left>
      <right style="thick">
        <color indexed="55"/>
      </right>
      <top style="double"/>
      <bottom>
        <color indexed="63"/>
      </bottom>
    </border>
    <border>
      <left>
        <color indexed="63"/>
      </left>
      <right>
        <color indexed="63"/>
      </right>
      <top>
        <color indexed="63"/>
      </top>
      <bottom style="thick">
        <color indexed="55"/>
      </bottom>
    </border>
    <border>
      <left>
        <color indexed="63"/>
      </left>
      <right>
        <color indexed="63"/>
      </right>
      <top style="thick">
        <color indexed="55"/>
      </top>
      <bottom>
        <color indexed="63"/>
      </bottom>
    </border>
    <border>
      <left>
        <color indexed="63"/>
      </left>
      <right style="thin"/>
      <top>
        <color indexed="63"/>
      </top>
      <bottom style="thick">
        <color indexed="55"/>
      </bottom>
    </border>
    <border>
      <left style="thin"/>
      <right>
        <color indexed="63"/>
      </right>
      <top>
        <color indexed="63"/>
      </top>
      <bottom style="thick">
        <color indexed="55"/>
      </bottom>
    </border>
    <border>
      <left style="thick">
        <color indexed="55"/>
      </left>
      <right>
        <color indexed="63"/>
      </right>
      <top style="thick">
        <color indexed="55"/>
      </top>
      <bottom>
        <color indexed="63"/>
      </bottom>
    </border>
    <border>
      <left style="thin"/>
      <right>
        <color indexed="63"/>
      </right>
      <top style="thick">
        <color indexed="55"/>
      </top>
      <bottom style="thin"/>
    </border>
    <border>
      <left>
        <color indexed="63"/>
      </left>
      <right>
        <color indexed="63"/>
      </right>
      <top style="thick">
        <color indexed="55"/>
      </top>
      <bottom style="thin"/>
    </border>
    <border>
      <left>
        <color indexed="63"/>
      </left>
      <right style="thin"/>
      <top style="thick">
        <color indexed="55"/>
      </top>
      <bottom style="thin"/>
    </border>
    <border>
      <left>
        <color indexed="63"/>
      </left>
      <right style="thick">
        <color indexed="55"/>
      </right>
      <top style="thick">
        <color indexed="55"/>
      </top>
      <bottom style="thin"/>
    </border>
    <border>
      <left style="double"/>
      <right>
        <color indexed="63"/>
      </right>
      <top style="double"/>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ck">
        <color indexed="55"/>
      </left>
      <right>
        <color indexed="63"/>
      </right>
      <top style="medium"/>
      <bottom>
        <color indexed="63"/>
      </bottom>
    </border>
    <border>
      <left style="thick">
        <color indexed="55"/>
      </left>
      <right>
        <color indexed="63"/>
      </right>
      <top>
        <color indexed="63"/>
      </top>
      <bottom style="medium"/>
    </border>
    <border>
      <left style="thin"/>
      <right style="thin"/>
      <top>
        <color indexed="63"/>
      </top>
      <bottom style="medium"/>
    </border>
    <border>
      <left>
        <color indexed="63"/>
      </left>
      <right style="thick">
        <color indexed="55"/>
      </right>
      <top style="medium"/>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color indexed="63"/>
      </right>
      <top>
        <color indexed="63"/>
      </top>
      <bottom style="thick"/>
    </border>
    <border>
      <left>
        <color indexed="63"/>
      </left>
      <right style="thin"/>
      <top>
        <color indexed="63"/>
      </top>
      <bottom style="thick"/>
    </border>
    <border>
      <left style="thin"/>
      <right style="thin"/>
      <top>
        <color indexed="63"/>
      </top>
      <bottom style="thick"/>
    </border>
    <border>
      <left>
        <color indexed="63"/>
      </left>
      <right style="thick">
        <color indexed="55"/>
      </right>
      <top>
        <color indexed="63"/>
      </top>
      <bottom style="medium"/>
    </border>
    <border>
      <left style="thin"/>
      <right style="thick">
        <color indexed="55"/>
      </right>
      <top>
        <color indexed="63"/>
      </top>
      <bottom>
        <color indexed="63"/>
      </bottom>
    </border>
    <border>
      <left>
        <color indexed="63"/>
      </left>
      <right style="medium"/>
      <top>
        <color indexed="63"/>
      </top>
      <bottom style="medium"/>
    </border>
    <border>
      <left style="thin"/>
      <right style="double"/>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applyAlignment="1">
      <alignment/>
    </xf>
    <xf numFmtId="0" fontId="1" fillId="0" borderId="0" xfId="0" applyFont="1" applyAlignment="1">
      <alignment horizontal="centerContinuous"/>
    </xf>
    <xf numFmtId="0" fontId="12" fillId="0" borderId="0" xfId="0" applyFont="1" applyAlignment="1">
      <alignment/>
    </xf>
    <xf numFmtId="0" fontId="19" fillId="0" borderId="0" xfId="0" applyFont="1" applyAlignment="1">
      <alignment/>
    </xf>
    <xf numFmtId="0" fontId="26" fillId="2" borderId="0" xfId="0" applyFont="1" applyFill="1" applyAlignment="1">
      <alignment horizontal="centerContinuous"/>
    </xf>
    <xf numFmtId="0" fontId="19" fillId="2" borderId="0" xfId="0" applyFont="1" applyFill="1" applyAlignment="1">
      <alignment horizontal="centerContinuous"/>
    </xf>
    <xf numFmtId="0" fontId="19" fillId="2" borderId="0" xfId="0" applyFont="1" applyFill="1" applyAlignment="1">
      <alignment/>
    </xf>
    <xf numFmtId="0" fontId="26" fillId="0" borderId="0" xfId="0" applyFont="1" applyAlignment="1">
      <alignment/>
    </xf>
    <xf numFmtId="0" fontId="20" fillId="0" borderId="0" xfId="0" applyFont="1" applyAlignment="1">
      <alignment/>
    </xf>
    <xf numFmtId="0" fontId="21" fillId="2" borderId="0" xfId="0" applyFont="1" applyFill="1" applyAlignment="1">
      <alignment horizontal="center"/>
    </xf>
    <xf numFmtId="0" fontId="15" fillId="0" borderId="0" xfId="0" applyFont="1" applyAlignment="1">
      <alignment/>
    </xf>
    <xf numFmtId="0" fontId="21" fillId="2" borderId="0" xfId="0" applyFont="1" applyFill="1" applyAlignment="1">
      <alignment/>
    </xf>
    <xf numFmtId="0" fontId="28" fillId="0" borderId="0" xfId="0" applyFont="1" applyAlignment="1">
      <alignment horizontal="left"/>
    </xf>
    <xf numFmtId="0" fontId="1" fillId="0" borderId="1" xfId="0" applyFont="1" applyBorder="1" applyAlignment="1">
      <alignment/>
    </xf>
    <xf numFmtId="1" fontId="34" fillId="0" borderId="2" xfId="0" applyNumberFormat="1" applyFont="1" applyBorder="1" applyAlignment="1" applyProtection="1">
      <alignment horizontal="centerContinuous"/>
      <protection locked="0"/>
    </xf>
    <xf numFmtId="1" fontId="34" fillId="0" borderId="3" xfId="0" applyNumberFormat="1" applyFont="1" applyBorder="1" applyAlignment="1" applyProtection="1">
      <alignment horizontal="centerContinuous"/>
      <protection locked="0"/>
    </xf>
    <xf numFmtId="0" fontId="31" fillId="0" borderId="0" xfId="0" applyFont="1" applyAlignment="1">
      <alignment horizontal="right"/>
    </xf>
    <xf numFmtId="0" fontId="46" fillId="0" borderId="4" xfId="0" applyFont="1" applyBorder="1" applyAlignment="1">
      <alignment horizontal="centerContinuous"/>
    </xf>
    <xf numFmtId="0" fontId="46" fillId="0" borderId="5" xfId="0" applyFont="1" applyBorder="1" applyAlignment="1">
      <alignment horizontal="centerContinuous"/>
    </xf>
    <xf numFmtId="0" fontId="46" fillId="0" borderId="6" xfId="0" applyFont="1" applyBorder="1" applyAlignment="1">
      <alignment horizontal="center"/>
    </xf>
    <xf numFmtId="0" fontId="46" fillId="0" borderId="7" xfId="0" applyFont="1" applyBorder="1" applyAlignment="1">
      <alignment horizontal="center"/>
    </xf>
    <xf numFmtId="0" fontId="46" fillId="0" borderId="0" xfId="0" applyFont="1" applyAlignment="1">
      <alignment/>
    </xf>
    <xf numFmtId="0" fontId="42" fillId="0" borderId="5" xfId="0" applyFont="1" applyBorder="1" applyAlignment="1" applyProtection="1">
      <alignment horizontal="center"/>
      <protection locked="0"/>
    </xf>
    <xf numFmtId="0" fontId="42" fillId="0" borderId="4" xfId="0" applyFont="1" applyBorder="1" applyAlignment="1" applyProtection="1">
      <alignment horizontal="center"/>
      <protection locked="0"/>
    </xf>
    <xf numFmtId="0" fontId="42" fillId="0" borderId="8" xfId="0" applyFont="1" applyBorder="1" applyAlignment="1" applyProtection="1">
      <alignment horizontal="center"/>
      <protection locked="0"/>
    </xf>
    <xf numFmtId="0" fontId="42" fillId="0" borderId="9" xfId="0" applyFont="1" applyBorder="1" applyAlignment="1" applyProtection="1">
      <alignment horizontal="center"/>
      <protection locked="0"/>
    </xf>
    <xf numFmtId="0" fontId="46" fillId="0" borderId="10" xfId="0" applyFont="1" applyBorder="1" applyAlignment="1">
      <alignment horizontal="center"/>
    </xf>
    <xf numFmtId="0" fontId="31" fillId="0" borderId="4" xfId="0" applyFont="1" applyBorder="1" applyAlignment="1">
      <alignment horizontal="center"/>
    </xf>
    <xf numFmtId="0" fontId="42" fillId="0" borderId="11" xfId="0" applyFont="1" applyBorder="1" applyAlignment="1" applyProtection="1">
      <alignment horizontal="center"/>
      <protection locked="0"/>
    </xf>
    <xf numFmtId="0" fontId="42" fillId="0" borderId="12" xfId="0" applyFont="1" applyBorder="1" applyAlignment="1" applyProtection="1">
      <alignment horizontal="center"/>
      <protection locked="0"/>
    </xf>
    <xf numFmtId="0" fontId="35" fillId="0" borderId="0" xfId="0" applyFont="1" applyAlignment="1">
      <alignment horizontal="left"/>
    </xf>
    <xf numFmtId="0" fontId="31" fillId="2" borderId="0" xfId="0" applyFont="1" applyFill="1" applyAlignment="1">
      <alignment horizontal="center"/>
    </xf>
    <xf numFmtId="0" fontId="31" fillId="0" borderId="8" xfId="0" applyFont="1" applyBorder="1" applyAlignment="1">
      <alignment horizontal="center"/>
    </xf>
    <xf numFmtId="0" fontId="31" fillId="0" borderId="0" xfId="0" applyFont="1" applyAlignment="1">
      <alignment/>
    </xf>
    <xf numFmtId="181" fontId="31" fillId="0" borderId="4" xfId="0" applyNumberFormat="1" applyFont="1" applyBorder="1" applyAlignment="1">
      <alignment horizontal="center"/>
    </xf>
    <xf numFmtId="181" fontId="31" fillId="0" borderId="13" xfId="0" applyNumberFormat="1" applyFont="1" applyBorder="1" applyAlignment="1">
      <alignment horizontal="center"/>
    </xf>
    <xf numFmtId="181" fontId="31" fillId="0" borderId="5" xfId="0" applyNumberFormat="1" applyFont="1" applyBorder="1" applyAlignment="1">
      <alignment horizontal="center"/>
    </xf>
    <xf numFmtId="179" fontId="31" fillId="0" borderId="9" xfId="0" applyNumberFormat="1" applyFont="1" applyBorder="1" applyAlignment="1">
      <alignment horizontal="center"/>
    </xf>
    <xf numFmtId="179" fontId="31" fillId="0" borderId="0" xfId="0" applyNumberFormat="1" applyFont="1" applyAlignment="1">
      <alignment horizontal="center"/>
    </xf>
    <xf numFmtId="179" fontId="31" fillId="0" borderId="8" xfId="0" applyNumberFormat="1" applyFont="1" applyBorder="1" applyAlignment="1">
      <alignment horizontal="center"/>
    </xf>
    <xf numFmtId="182" fontId="42" fillId="0" borderId="12" xfId="0" applyNumberFormat="1" applyFont="1" applyBorder="1" applyAlignment="1" applyProtection="1">
      <alignment horizontal="center"/>
      <protection locked="0"/>
    </xf>
    <xf numFmtId="182" fontId="42" fillId="0" borderId="14" xfId="0" applyNumberFormat="1" applyFont="1" applyBorder="1" applyAlignment="1" applyProtection="1">
      <alignment horizontal="center"/>
      <protection locked="0"/>
    </xf>
    <xf numFmtId="182" fontId="42" fillId="0" borderId="11" xfId="0" applyNumberFormat="1" applyFont="1" applyBorder="1" applyAlignment="1" applyProtection="1">
      <alignment horizontal="center"/>
      <protection locked="0"/>
    </xf>
    <xf numFmtId="0" fontId="31" fillId="0" borderId="0" xfId="0" applyFont="1" applyAlignment="1">
      <alignment horizontal="center"/>
    </xf>
    <xf numFmtId="0" fontId="46" fillId="0" borderId="6" xfId="0" applyFont="1" applyBorder="1" applyAlignment="1">
      <alignment horizontal="centerContinuous"/>
    </xf>
    <xf numFmtId="0" fontId="46" fillId="0" borderId="10" xfId="0" applyFont="1" applyBorder="1" applyAlignment="1">
      <alignment horizontal="centerContinuous"/>
    </xf>
    <xf numFmtId="0" fontId="31" fillId="0" borderId="9" xfId="0" applyFont="1" applyBorder="1" applyAlignment="1">
      <alignment horizontal="center"/>
    </xf>
    <xf numFmtId="0" fontId="31" fillId="0" borderId="0" xfId="0" applyFont="1" applyBorder="1" applyAlignment="1">
      <alignment horizontal="center"/>
    </xf>
    <xf numFmtId="179" fontId="55" fillId="0" borderId="12" xfId="0" applyNumberFormat="1" applyFont="1" applyBorder="1" applyAlignment="1">
      <alignment horizontal="center"/>
    </xf>
    <xf numFmtId="179" fontId="55" fillId="0" borderId="14" xfId="0" applyNumberFormat="1" applyFont="1" applyBorder="1" applyAlignment="1">
      <alignment horizontal="center"/>
    </xf>
    <xf numFmtId="179" fontId="55" fillId="0" borderId="11" xfId="0" applyNumberFormat="1" applyFont="1" applyBorder="1" applyAlignment="1">
      <alignment horizontal="center"/>
    </xf>
    <xf numFmtId="181" fontId="58" fillId="0" borderId="0" xfId="0" applyNumberFormat="1" applyFont="1" applyAlignment="1">
      <alignment horizontal="center"/>
    </xf>
    <xf numFmtId="0" fontId="59" fillId="0" borderId="0" xfId="0" applyFont="1" applyAlignment="1">
      <alignment/>
    </xf>
    <xf numFmtId="0" fontId="55" fillId="0" borderId="0" xfId="0" applyFont="1" applyAlignment="1">
      <alignment/>
    </xf>
    <xf numFmtId="0" fontId="46" fillId="0" borderId="15" xfId="0" applyFont="1" applyBorder="1" applyAlignment="1">
      <alignment/>
    </xf>
    <xf numFmtId="0" fontId="46" fillId="0" borderId="16" xfId="0" applyFont="1" applyBorder="1" applyAlignment="1">
      <alignment/>
    </xf>
    <xf numFmtId="0" fontId="46" fillId="0" borderId="12" xfId="0" applyFont="1" applyBorder="1" applyAlignment="1">
      <alignment/>
    </xf>
    <xf numFmtId="0" fontId="46" fillId="0" borderId="11" xfId="0" applyFont="1" applyBorder="1" applyAlignment="1">
      <alignment/>
    </xf>
    <xf numFmtId="0" fontId="31" fillId="2" borderId="15" xfId="0" applyFont="1" applyFill="1" applyBorder="1" applyAlignment="1">
      <alignment/>
    </xf>
    <xf numFmtId="0" fontId="35" fillId="0" borderId="4" xfId="0" applyFont="1" applyBorder="1" applyAlignment="1">
      <alignment horizontal="center"/>
    </xf>
    <xf numFmtId="0" fontId="35" fillId="0" borderId="5" xfId="0" applyFont="1" applyBorder="1" applyAlignment="1">
      <alignment horizontal="center"/>
    </xf>
    <xf numFmtId="0" fontId="31" fillId="2" borderId="1" xfId="0" applyFont="1" applyFill="1" applyBorder="1" applyAlignment="1">
      <alignment/>
    </xf>
    <xf numFmtId="0" fontId="35" fillId="0" borderId="9" xfId="0" applyFont="1" applyBorder="1" applyAlignment="1">
      <alignment horizontal="center"/>
    </xf>
    <xf numFmtId="0" fontId="35" fillId="0" borderId="8" xfId="0" applyFont="1" applyBorder="1" applyAlignment="1">
      <alignment horizontal="center"/>
    </xf>
    <xf numFmtId="0" fontId="31" fillId="0" borderId="1" xfId="0" applyFont="1" applyBorder="1" applyAlignment="1">
      <alignment/>
    </xf>
    <xf numFmtId="1" fontId="31" fillId="0" borderId="9" xfId="0" applyNumberFormat="1" applyFont="1" applyBorder="1" applyAlignment="1">
      <alignment horizontal="centerContinuous"/>
    </xf>
    <xf numFmtId="1" fontId="45" fillId="0" borderId="8" xfId="0" applyNumberFormat="1" applyFont="1" applyBorder="1" applyAlignment="1">
      <alignment horizontal="centerContinuous"/>
    </xf>
    <xf numFmtId="0" fontId="50" fillId="0" borderId="16" xfId="0" applyFont="1" applyBorder="1" applyAlignment="1">
      <alignment horizontal="center"/>
    </xf>
    <xf numFmtId="0" fontId="50" fillId="0" borderId="12" xfId="0" applyFont="1" applyBorder="1" applyAlignment="1">
      <alignment horizontal="center"/>
    </xf>
    <xf numFmtId="0" fontId="50" fillId="0" borderId="11" xfId="0" applyFont="1" applyBorder="1" applyAlignment="1">
      <alignment horizontal="center"/>
    </xf>
    <xf numFmtId="0" fontId="60" fillId="0" borderId="0" xfId="0" applyFont="1" applyAlignment="1">
      <alignment/>
    </xf>
    <xf numFmtId="0" fontId="61" fillId="0" borderId="11" xfId="0" applyFont="1" applyBorder="1" applyAlignment="1">
      <alignment horizontal="center"/>
    </xf>
    <xf numFmtId="0" fontId="46" fillId="0" borderId="17" xfId="0" applyFont="1" applyBorder="1" applyAlignment="1">
      <alignment/>
    </xf>
    <xf numFmtId="0" fontId="31" fillId="0" borderId="5" xfId="0" applyFont="1" applyBorder="1" applyAlignment="1">
      <alignment horizontal="center"/>
    </xf>
    <xf numFmtId="0" fontId="31" fillId="0" borderId="15" xfId="0" applyFont="1" applyBorder="1" applyAlignment="1">
      <alignment horizontal="center"/>
    </xf>
    <xf numFmtId="0" fontId="31" fillId="0" borderId="1" xfId="0" applyFont="1" applyBorder="1" applyAlignment="1">
      <alignment horizontal="center"/>
    </xf>
    <xf numFmtId="0" fontId="46" fillId="0" borderId="18" xfId="0" applyFont="1" applyBorder="1" applyAlignment="1">
      <alignment/>
    </xf>
    <xf numFmtId="0" fontId="31" fillId="3" borderId="4" xfId="0" applyFont="1" applyFill="1" applyBorder="1" applyAlignment="1">
      <alignment horizontal="center"/>
    </xf>
    <xf numFmtId="0" fontId="31" fillId="3" borderId="13" xfId="0" applyFont="1" applyFill="1" applyBorder="1" applyAlignment="1">
      <alignment horizontal="center"/>
    </xf>
    <xf numFmtId="0" fontId="31" fillId="3" borderId="5" xfId="0" applyFont="1" applyFill="1" applyBorder="1" applyAlignment="1">
      <alignment horizontal="center"/>
    </xf>
    <xf numFmtId="0" fontId="31" fillId="3" borderId="9" xfId="0" applyFont="1" applyFill="1" applyBorder="1" applyAlignment="1">
      <alignment horizontal="center"/>
    </xf>
    <xf numFmtId="0" fontId="31" fillId="3" borderId="0" xfId="0" applyFont="1" applyFill="1" applyAlignment="1">
      <alignment horizontal="center"/>
    </xf>
    <xf numFmtId="0" fontId="31" fillId="3" borderId="8" xfId="0" applyFont="1" applyFill="1" applyBorder="1" applyAlignment="1">
      <alignment horizontal="center"/>
    </xf>
    <xf numFmtId="0" fontId="31" fillId="3" borderId="12" xfId="0" applyFont="1" applyFill="1" applyBorder="1" applyAlignment="1">
      <alignment horizontal="center"/>
    </xf>
    <xf numFmtId="0" fontId="31" fillId="3" borderId="14" xfId="0" applyFont="1" applyFill="1" applyBorder="1" applyAlignment="1">
      <alignment horizontal="center"/>
    </xf>
    <xf numFmtId="0" fontId="31" fillId="3" borderId="11" xfId="0" applyFont="1" applyFill="1" applyBorder="1" applyAlignment="1">
      <alignment horizontal="center"/>
    </xf>
    <xf numFmtId="179" fontId="58" fillId="0" borderId="15" xfId="0" applyNumberFormat="1" applyFont="1" applyBorder="1" applyAlignment="1">
      <alignment horizontal="center"/>
    </xf>
    <xf numFmtId="2" fontId="58" fillId="0" borderId="1" xfId="0" applyNumberFormat="1" applyFont="1" applyBorder="1" applyAlignment="1">
      <alignment horizontal="center"/>
    </xf>
    <xf numFmtId="2" fontId="31" fillId="0" borderId="1" xfId="0" applyNumberFormat="1" applyFont="1" applyBorder="1" applyAlignment="1">
      <alignment horizontal="center"/>
    </xf>
    <xf numFmtId="181" fontId="31" fillId="0" borderId="1" xfId="0" applyNumberFormat="1" applyFont="1" applyBorder="1" applyAlignment="1">
      <alignment horizontal="center"/>
    </xf>
    <xf numFmtId="183" fontId="31" fillId="0" borderId="1" xfId="0" applyNumberFormat="1" applyFont="1" applyBorder="1" applyAlignment="1">
      <alignment horizontal="center"/>
    </xf>
    <xf numFmtId="1" fontId="31" fillId="0" borderId="1" xfId="0" applyNumberFormat="1" applyFont="1" applyBorder="1" applyAlignment="1">
      <alignment horizontal="center"/>
    </xf>
    <xf numFmtId="10" fontId="31" fillId="0" borderId="1" xfId="0" applyNumberFormat="1" applyFont="1" applyBorder="1" applyAlignment="1">
      <alignment horizontal="center"/>
    </xf>
    <xf numFmtId="179" fontId="31" fillId="2" borderId="1" xfId="0" applyNumberFormat="1" applyFont="1" applyFill="1" applyBorder="1" applyAlignment="1">
      <alignment horizontal="center"/>
    </xf>
    <xf numFmtId="179" fontId="31" fillId="0" borderId="1" xfId="0" applyNumberFormat="1" applyFont="1" applyBorder="1" applyAlignment="1">
      <alignment horizontal="center"/>
    </xf>
    <xf numFmtId="179" fontId="58" fillId="0" borderId="1" xfId="0" applyNumberFormat="1" applyFont="1" applyBorder="1" applyAlignment="1">
      <alignment horizontal="center"/>
    </xf>
    <xf numFmtId="1" fontId="58" fillId="2" borderId="1" xfId="0" applyNumberFormat="1" applyFont="1" applyFill="1" applyBorder="1" applyAlignment="1">
      <alignment horizontal="center"/>
    </xf>
    <xf numFmtId="0" fontId="38" fillId="3" borderId="0" xfId="0" applyFont="1" applyFill="1" applyAlignment="1">
      <alignment horizontal="center"/>
    </xf>
    <xf numFmtId="0" fontId="31" fillId="4" borderId="0" xfId="0" applyFont="1" applyFill="1" applyAlignment="1">
      <alignment horizontal="center"/>
    </xf>
    <xf numFmtId="0" fontId="31" fillId="5" borderId="0" xfId="0" applyFont="1" applyFill="1" applyAlignment="1">
      <alignment horizontal="center"/>
    </xf>
    <xf numFmtId="0" fontId="31" fillId="6" borderId="0" xfId="0" applyFont="1" applyFill="1" applyAlignment="1">
      <alignment horizontal="center"/>
    </xf>
    <xf numFmtId="0" fontId="38" fillId="4" borderId="0" xfId="0" applyFont="1" applyFill="1" applyAlignment="1">
      <alignment horizontal="center"/>
    </xf>
    <xf numFmtId="0" fontId="38" fillId="5" borderId="0" xfId="0" applyFont="1" applyFill="1" applyAlignment="1">
      <alignment horizontal="center"/>
    </xf>
    <xf numFmtId="0" fontId="38" fillId="6" borderId="0" xfId="0" applyFont="1" applyFill="1" applyAlignment="1">
      <alignment horizontal="center"/>
    </xf>
    <xf numFmtId="0" fontId="46" fillId="0" borderId="0" xfId="0" applyFont="1" applyAlignment="1">
      <alignment horizontal="centerContinuous"/>
    </xf>
    <xf numFmtId="0" fontId="62" fillId="7" borderId="0" xfId="0" applyFont="1" applyFill="1" applyAlignment="1">
      <alignment horizontal="center"/>
    </xf>
    <xf numFmtId="0" fontId="38" fillId="8" borderId="0" xfId="0" applyFont="1" applyFill="1" applyAlignment="1">
      <alignment horizontal="center"/>
    </xf>
    <xf numFmtId="0" fontId="50" fillId="8" borderId="0" xfId="0" applyFont="1" applyFill="1" applyAlignment="1">
      <alignment horizontal="center"/>
    </xf>
    <xf numFmtId="0" fontId="38" fillId="9" borderId="0" xfId="0" applyFont="1" applyFill="1" applyAlignment="1">
      <alignment/>
    </xf>
    <xf numFmtId="0" fontId="31" fillId="9" borderId="0" xfId="0" applyFont="1" applyFill="1" applyAlignment="1">
      <alignment horizontal="center"/>
    </xf>
    <xf numFmtId="0" fontId="51" fillId="10" borderId="0" xfId="0" applyFont="1" applyFill="1" applyAlignment="1">
      <alignment horizontal="center"/>
    </xf>
    <xf numFmtId="0" fontId="31" fillId="8" borderId="0" xfId="0" applyFont="1" applyFill="1" applyAlignment="1">
      <alignment horizontal="center"/>
    </xf>
    <xf numFmtId="0" fontId="46" fillId="11" borderId="0" xfId="0" applyFont="1" applyFill="1" applyAlignment="1">
      <alignment/>
    </xf>
    <xf numFmtId="0" fontId="46" fillId="12" borderId="0" xfId="0" applyFont="1" applyFill="1" applyAlignment="1">
      <alignment/>
    </xf>
    <xf numFmtId="0" fontId="46" fillId="12" borderId="0" xfId="0" applyFont="1" applyFill="1" applyAlignment="1">
      <alignment horizontal="centerContinuous"/>
    </xf>
    <xf numFmtId="0" fontId="46" fillId="11" borderId="0" xfId="0" applyFont="1" applyFill="1" applyAlignment="1">
      <alignment horizontal="centerContinuous"/>
    </xf>
    <xf numFmtId="0" fontId="45" fillId="0" borderId="0" xfId="0" applyFont="1" applyAlignment="1">
      <alignment horizontal="center"/>
    </xf>
    <xf numFmtId="0" fontId="0" fillId="0" borderId="0" xfId="0" applyBorder="1" applyAlignment="1">
      <alignment/>
    </xf>
    <xf numFmtId="0" fontId="37" fillId="0" borderId="0" xfId="0" applyFont="1" applyAlignment="1">
      <alignment horizontal="left"/>
    </xf>
    <xf numFmtId="0" fontId="2" fillId="13" borderId="0" xfId="0" applyFont="1" applyFill="1" applyAlignment="1" applyProtection="1">
      <alignment/>
      <protection/>
    </xf>
    <xf numFmtId="0" fontId="1" fillId="13" borderId="0" xfId="0" applyFont="1" applyFill="1" applyAlignment="1" applyProtection="1">
      <alignment/>
      <protection/>
    </xf>
    <xf numFmtId="0" fontId="65" fillId="13" borderId="0" xfId="0" applyFont="1" applyFill="1" applyAlignment="1" applyProtection="1">
      <alignment horizontal="left"/>
      <protection/>
    </xf>
    <xf numFmtId="0" fontId="0" fillId="0" borderId="0" xfId="0" applyAlignment="1" applyProtection="1">
      <alignment/>
      <protection/>
    </xf>
    <xf numFmtId="0" fontId="13" fillId="0" borderId="0" xfId="0" applyFont="1" applyAlignment="1" applyProtection="1">
      <alignment horizontal="right"/>
      <protection/>
    </xf>
    <xf numFmtId="0" fontId="3" fillId="13" borderId="0" xfId="0" applyFont="1" applyFill="1" applyAlignment="1" applyProtection="1">
      <alignment/>
      <protection/>
    </xf>
    <xf numFmtId="1" fontId="31" fillId="0" borderId="19" xfId="0" applyNumberFormat="1" applyFont="1" applyBorder="1" applyAlignment="1" applyProtection="1">
      <alignment vertical="center"/>
      <protection/>
    </xf>
    <xf numFmtId="1" fontId="4" fillId="0" borderId="20" xfId="0" applyNumberFormat="1" applyFont="1" applyBorder="1" applyAlignment="1" applyProtection="1">
      <alignment vertical="center"/>
      <protection/>
    </xf>
    <xf numFmtId="0" fontId="5" fillId="0" borderId="21" xfId="0" applyFont="1" applyBorder="1" applyAlignment="1" applyProtection="1">
      <alignment horizontal="centerContinuous" vertical="center"/>
      <protection/>
    </xf>
    <xf numFmtId="1" fontId="6" fillId="0" borderId="21" xfId="0" applyNumberFormat="1" applyFont="1" applyBorder="1" applyAlignment="1" applyProtection="1">
      <alignment horizontal="centerContinuous" vertical="center"/>
      <protection/>
    </xf>
    <xf numFmtId="1" fontId="6" fillId="0" borderId="22" xfId="0" applyNumberFormat="1" applyFont="1" applyBorder="1" applyAlignment="1" applyProtection="1">
      <alignment horizontal="centerContinuous" vertical="center"/>
      <protection/>
    </xf>
    <xf numFmtId="0" fontId="33" fillId="13" borderId="0" xfId="0" applyFont="1" applyFill="1" applyAlignment="1" applyProtection="1">
      <alignment horizontal="left"/>
      <protection/>
    </xf>
    <xf numFmtId="1" fontId="31" fillId="0" borderId="23" xfId="0" applyNumberFormat="1" applyFont="1" applyBorder="1" applyAlignment="1" applyProtection="1">
      <alignment/>
      <protection/>
    </xf>
    <xf numFmtId="1" fontId="35" fillId="2" borderId="0" xfId="0" applyNumberFormat="1" applyFont="1" applyFill="1" applyAlignment="1" applyProtection="1">
      <alignment/>
      <protection/>
    </xf>
    <xf numFmtId="0" fontId="1" fillId="0" borderId="0" xfId="0" applyFont="1" applyAlignment="1" applyProtection="1">
      <alignment/>
      <protection/>
    </xf>
    <xf numFmtId="1" fontId="7" fillId="0" borderId="0" xfId="0" applyNumberFormat="1" applyFont="1" applyAlignment="1" applyProtection="1">
      <alignment/>
      <protection/>
    </xf>
    <xf numFmtId="1" fontId="35" fillId="0" borderId="23" xfId="0" applyNumberFormat="1" applyFont="1" applyBorder="1" applyAlignment="1" applyProtection="1">
      <alignment/>
      <protection/>
    </xf>
    <xf numFmtId="1" fontId="35" fillId="0" borderId="24" xfId="0" applyNumberFormat="1" applyFont="1" applyBorder="1" applyAlignment="1" applyProtection="1">
      <alignment/>
      <protection/>
    </xf>
    <xf numFmtId="1" fontId="35" fillId="0" borderId="25" xfId="0" applyNumberFormat="1" applyFont="1" applyBorder="1" applyAlignment="1" applyProtection="1">
      <alignment/>
      <protection/>
    </xf>
    <xf numFmtId="0" fontId="1" fillId="0" borderId="0" xfId="0" applyFont="1" applyAlignment="1" applyProtection="1">
      <alignment horizontal="right"/>
      <protection/>
    </xf>
    <xf numFmtId="0" fontId="0" fillId="2" borderId="0" xfId="0" applyFont="1" applyFill="1" applyAlignment="1" applyProtection="1">
      <alignment/>
      <protection/>
    </xf>
    <xf numFmtId="0" fontId="0" fillId="0" borderId="0" xfId="0" applyFont="1" applyAlignment="1" applyProtection="1">
      <alignment/>
      <protection/>
    </xf>
    <xf numFmtId="1" fontId="4" fillId="0" borderId="0" xfId="0" applyNumberFormat="1" applyFont="1" applyAlignment="1" applyProtection="1">
      <alignment/>
      <protection/>
    </xf>
    <xf numFmtId="1" fontId="36" fillId="0" borderId="23" xfId="0" applyNumberFormat="1" applyFont="1" applyBorder="1" applyAlignment="1" applyProtection="1">
      <alignment/>
      <protection/>
    </xf>
    <xf numFmtId="1" fontId="38" fillId="0" borderId="0" xfId="0" applyNumberFormat="1" applyFont="1" applyAlignment="1" applyProtection="1">
      <alignment/>
      <protection/>
    </xf>
    <xf numFmtId="1" fontId="36" fillId="2" borderId="0" xfId="0" applyNumberFormat="1" applyFont="1" applyFill="1" applyAlignment="1" applyProtection="1">
      <alignment/>
      <protection/>
    </xf>
    <xf numFmtId="1" fontId="4" fillId="0" borderId="0" xfId="0" applyNumberFormat="1" applyFont="1" applyAlignment="1" applyProtection="1">
      <alignment horizontal="right"/>
      <protection/>
    </xf>
    <xf numFmtId="1" fontId="35" fillId="0" borderId="4" xfId="0" applyNumberFormat="1" applyFont="1" applyBorder="1" applyAlignment="1" applyProtection="1">
      <alignment/>
      <protection/>
    </xf>
    <xf numFmtId="1" fontId="36" fillId="0" borderId="3" xfId="0" applyNumberFormat="1" applyFont="1" applyBorder="1" applyAlignment="1" applyProtection="1">
      <alignment horizontal="left"/>
      <protection/>
    </xf>
    <xf numFmtId="1" fontId="36" fillId="0" borderId="26" xfId="0" applyNumberFormat="1" applyFont="1" applyBorder="1" applyAlignment="1" applyProtection="1">
      <alignment horizontal="left"/>
      <protection/>
    </xf>
    <xf numFmtId="1" fontId="36" fillId="2" borderId="26" xfId="0" applyNumberFormat="1" applyFont="1" applyFill="1" applyBorder="1" applyAlignment="1" applyProtection="1">
      <alignment horizontal="left"/>
      <protection/>
    </xf>
    <xf numFmtId="1" fontId="4" fillId="0" borderId="26" xfId="0" applyNumberFormat="1" applyFont="1" applyBorder="1" applyAlignment="1" applyProtection="1">
      <alignment horizontal="right"/>
      <protection/>
    </xf>
    <xf numFmtId="1" fontId="4" fillId="0" borderId="26" xfId="0" applyNumberFormat="1" applyFont="1" applyBorder="1" applyAlignment="1" applyProtection="1">
      <alignment/>
      <protection/>
    </xf>
    <xf numFmtId="0" fontId="39" fillId="13" borderId="0" xfId="0" applyFont="1" applyFill="1" applyAlignment="1" applyProtection="1">
      <alignment horizontal="left"/>
      <protection/>
    </xf>
    <xf numFmtId="0" fontId="1" fillId="2" borderId="0" xfId="0" applyFont="1" applyFill="1" applyAlignment="1" applyProtection="1">
      <alignment/>
      <protection/>
    </xf>
    <xf numFmtId="0" fontId="41" fillId="13" borderId="0" xfId="0" applyFont="1" applyFill="1" applyAlignment="1" applyProtection="1">
      <alignment/>
      <protection/>
    </xf>
    <xf numFmtId="0" fontId="31" fillId="0" borderId="0" xfId="0" applyFont="1" applyAlignment="1" applyProtection="1">
      <alignment horizontal="left"/>
      <protection/>
    </xf>
    <xf numFmtId="0" fontId="46" fillId="0" borderId="4" xfId="0" applyFont="1" applyBorder="1" applyAlignment="1" applyProtection="1">
      <alignment horizontal="centerContinuous"/>
      <protection/>
    </xf>
    <xf numFmtId="0" fontId="46" fillId="0" borderId="5" xfId="0" applyFont="1" applyBorder="1" applyAlignment="1" applyProtection="1">
      <alignment horizontal="centerContinuous"/>
      <protection/>
    </xf>
    <xf numFmtId="0" fontId="46" fillId="0" borderId="6" xfId="0" applyFont="1" applyBorder="1" applyAlignment="1" applyProtection="1">
      <alignment horizontal="center"/>
      <protection/>
    </xf>
    <xf numFmtId="0" fontId="46" fillId="0" borderId="12" xfId="0" applyFont="1" applyBorder="1" applyAlignment="1" applyProtection="1">
      <alignment horizontal="center"/>
      <protection/>
    </xf>
    <xf numFmtId="0" fontId="46" fillId="0" borderId="11" xfId="0" applyFont="1" applyBorder="1" applyAlignment="1" applyProtection="1">
      <alignment horizontal="center"/>
      <protection/>
    </xf>
    <xf numFmtId="0" fontId="46" fillId="0" borderId="10" xfId="0" applyFont="1" applyBorder="1" applyAlignment="1" applyProtection="1">
      <alignment horizontal="center"/>
      <protection/>
    </xf>
    <xf numFmtId="0" fontId="31" fillId="0" borderId="4" xfId="0" applyFont="1" applyBorder="1" applyAlignment="1" applyProtection="1">
      <alignment horizontal="center"/>
      <protection/>
    </xf>
    <xf numFmtId="0" fontId="46" fillId="0" borderId="0" xfId="0" applyFont="1" applyAlignment="1" applyProtection="1">
      <alignment horizontal="right"/>
      <protection/>
    </xf>
    <xf numFmtId="0" fontId="1" fillId="0" borderId="0" xfId="0" applyFont="1" applyAlignment="1" applyProtection="1">
      <alignment horizontal="centerContinuous"/>
      <protection/>
    </xf>
    <xf numFmtId="0" fontId="46" fillId="0" borderId="4" xfId="0" applyFont="1" applyBorder="1" applyAlignment="1" applyProtection="1">
      <alignment horizontal="center"/>
      <protection/>
    </xf>
    <xf numFmtId="0" fontId="46" fillId="0" borderId="13" xfId="0" applyFont="1" applyBorder="1" applyAlignment="1" applyProtection="1">
      <alignment horizontal="center"/>
      <protection/>
    </xf>
    <xf numFmtId="0" fontId="46" fillId="0" borderId="14" xfId="0" applyFont="1" applyBorder="1" applyAlignment="1" applyProtection="1">
      <alignment horizontal="center"/>
      <protection/>
    </xf>
    <xf numFmtId="2" fontId="31" fillId="0" borderId="9" xfId="0" applyNumberFormat="1" applyFont="1" applyBorder="1" applyAlignment="1" applyProtection="1">
      <alignment horizontal="center"/>
      <protection/>
    </xf>
    <xf numFmtId="0" fontId="38" fillId="0" borderId="6" xfId="0" applyFont="1" applyBorder="1" applyAlignment="1" applyProtection="1">
      <alignment horizontal="center"/>
      <protection/>
    </xf>
    <xf numFmtId="0" fontId="38" fillId="0" borderId="10" xfId="0" applyFont="1" applyBorder="1" applyAlignment="1" applyProtection="1">
      <alignment horizontal="center"/>
      <protection/>
    </xf>
    <xf numFmtId="0" fontId="49" fillId="0" borderId="12" xfId="0" applyFont="1" applyBorder="1" applyAlignment="1" applyProtection="1">
      <alignment horizontal="center"/>
      <protection/>
    </xf>
    <xf numFmtId="0" fontId="46" fillId="13" borderId="0" xfId="0" applyFont="1" applyFill="1" applyAlignment="1" applyProtection="1">
      <alignment/>
      <protection/>
    </xf>
    <xf numFmtId="2" fontId="31" fillId="0" borderId="4" xfId="0" applyNumberFormat="1" applyFont="1" applyBorder="1" applyAlignment="1" applyProtection="1">
      <alignment horizontal="center"/>
      <protection/>
    </xf>
    <xf numFmtId="2" fontId="31" fillId="0" borderId="13" xfId="0" applyNumberFormat="1" applyFont="1" applyBorder="1" applyAlignment="1" applyProtection="1">
      <alignment horizontal="center"/>
      <protection/>
    </xf>
    <xf numFmtId="2" fontId="31" fillId="0" borderId="5" xfId="0" applyNumberFormat="1" applyFont="1" applyBorder="1" applyAlignment="1" applyProtection="1">
      <alignment horizontal="center"/>
      <protection/>
    </xf>
    <xf numFmtId="184" fontId="64" fillId="13" borderId="0" xfId="0" applyNumberFormat="1" applyFont="1" applyFill="1" applyAlignment="1" applyProtection="1">
      <alignment horizontal="left"/>
      <protection/>
    </xf>
    <xf numFmtId="2" fontId="31" fillId="0" borderId="8" xfId="0" applyNumberFormat="1" applyFont="1" applyBorder="1" applyAlignment="1" applyProtection="1">
      <alignment horizontal="center"/>
      <protection/>
    </xf>
    <xf numFmtId="0" fontId="13" fillId="0" borderId="0" xfId="0" applyFont="1" applyAlignment="1" applyProtection="1">
      <alignment/>
      <protection/>
    </xf>
    <xf numFmtId="1" fontId="52" fillId="0" borderId="20" xfId="0" applyNumberFormat="1" applyFont="1" applyBorder="1" applyAlignment="1" applyProtection="1">
      <alignment horizontal="left" vertical="center"/>
      <protection/>
    </xf>
    <xf numFmtId="1" fontId="4" fillId="2" borderId="20" xfId="0" applyNumberFormat="1" applyFont="1" applyFill="1" applyBorder="1" applyAlignment="1" applyProtection="1">
      <alignment vertical="center"/>
      <protection/>
    </xf>
    <xf numFmtId="1" fontId="37" fillId="0" borderId="0" xfId="0" applyNumberFormat="1" applyFont="1" applyAlignment="1" applyProtection="1">
      <alignment horizontal="left"/>
      <protection/>
    </xf>
    <xf numFmtId="0" fontId="35" fillId="2" borderId="0" xfId="0" applyFont="1" applyFill="1" applyAlignment="1" applyProtection="1">
      <alignment/>
      <protection/>
    </xf>
    <xf numFmtId="1" fontId="35" fillId="0" borderId="9" xfId="0" applyNumberFormat="1" applyFont="1" applyBorder="1" applyAlignment="1" applyProtection="1">
      <alignment/>
      <protection/>
    </xf>
    <xf numFmtId="1" fontId="35" fillId="0" borderId="27" xfId="0" applyNumberFormat="1" applyFont="1" applyBorder="1" applyAlignment="1" applyProtection="1">
      <alignment/>
      <protection/>
    </xf>
    <xf numFmtId="1" fontId="37" fillId="0" borderId="2" xfId="0" applyNumberFormat="1" applyFont="1" applyBorder="1" applyAlignment="1" applyProtection="1">
      <alignment horizontal="center"/>
      <protection/>
    </xf>
    <xf numFmtId="180" fontId="37" fillId="0" borderId="9" xfId="0" applyNumberFormat="1" applyFont="1" applyBorder="1" applyAlignment="1" applyProtection="1">
      <alignment horizontal="centerContinuous"/>
      <protection/>
    </xf>
    <xf numFmtId="1" fontId="37" fillId="0" borderId="27" xfId="0" applyNumberFormat="1" applyFont="1" applyBorder="1" applyAlignment="1" applyProtection="1">
      <alignment horizontal="center"/>
      <protection/>
    </xf>
    <xf numFmtId="1" fontId="35" fillId="0" borderId="15" xfId="0" applyNumberFormat="1" applyFont="1" applyBorder="1" applyAlignment="1" applyProtection="1">
      <alignment/>
      <protection/>
    </xf>
    <xf numFmtId="1" fontId="37" fillId="0" borderId="3" xfId="0" applyNumberFormat="1" applyFont="1" applyBorder="1" applyAlignment="1" applyProtection="1">
      <alignment horizontal="center"/>
      <protection/>
    </xf>
    <xf numFmtId="1" fontId="37" fillId="0" borderId="28" xfId="0" applyNumberFormat="1" applyFont="1" applyBorder="1" applyAlignment="1" applyProtection="1">
      <alignment horizontal="centerContinuous"/>
      <protection/>
    </xf>
    <xf numFmtId="1" fontId="37" fillId="0" borderId="29" xfId="0" applyNumberFormat="1" applyFont="1" applyBorder="1" applyAlignment="1" applyProtection="1">
      <alignment horizontal="center"/>
      <protection/>
    </xf>
    <xf numFmtId="0" fontId="34" fillId="13" borderId="0" xfId="0" applyFont="1" applyFill="1" applyAlignment="1" applyProtection="1">
      <alignment horizontal="left"/>
      <protection/>
    </xf>
    <xf numFmtId="0" fontId="54" fillId="13" borderId="0" xfId="0" applyFont="1" applyFill="1" applyAlignment="1" applyProtection="1">
      <alignment horizontal="left"/>
      <protection/>
    </xf>
    <xf numFmtId="0" fontId="11" fillId="0" borderId="0" xfId="0" applyFont="1" applyAlignment="1" applyProtection="1">
      <alignment/>
      <protection/>
    </xf>
    <xf numFmtId="181" fontId="31" fillId="0" borderId="4" xfId="0" applyNumberFormat="1" applyFont="1" applyBorder="1" applyAlignment="1" applyProtection="1">
      <alignment horizontal="center"/>
      <protection/>
    </xf>
    <xf numFmtId="181" fontId="31" fillId="0" borderId="13" xfId="0" applyNumberFormat="1" applyFont="1" applyBorder="1" applyAlignment="1" applyProtection="1">
      <alignment horizontal="center"/>
      <protection/>
    </xf>
    <xf numFmtId="181" fontId="31" fillId="0" borderId="5" xfId="0" applyNumberFormat="1" applyFont="1" applyBorder="1" applyAlignment="1" applyProtection="1">
      <alignment horizontal="center"/>
      <protection/>
    </xf>
    <xf numFmtId="0" fontId="12" fillId="0" borderId="0" xfId="0" applyFont="1" applyAlignment="1" applyProtection="1">
      <alignment/>
      <protection/>
    </xf>
    <xf numFmtId="181" fontId="31" fillId="0" borderId="9" xfId="0" applyNumberFormat="1" applyFont="1" applyBorder="1" applyAlignment="1" applyProtection="1">
      <alignment horizontal="center"/>
      <protection/>
    </xf>
    <xf numFmtId="181" fontId="31" fillId="0" borderId="8" xfId="0" applyNumberFormat="1" applyFont="1" applyBorder="1" applyAlignment="1" applyProtection="1">
      <alignment horizontal="center"/>
      <protection/>
    </xf>
    <xf numFmtId="179" fontId="31" fillId="0" borderId="9" xfId="0" applyNumberFormat="1" applyFont="1" applyBorder="1" applyAlignment="1" applyProtection="1">
      <alignment horizontal="center"/>
      <protection/>
    </xf>
    <xf numFmtId="179" fontId="31" fillId="0" borderId="8" xfId="0" applyNumberFormat="1" applyFont="1" applyBorder="1" applyAlignment="1" applyProtection="1">
      <alignment horizontal="center"/>
      <protection/>
    </xf>
    <xf numFmtId="0" fontId="66" fillId="13" borderId="0" xfId="0" applyFont="1" applyFill="1" applyAlignment="1" applyProtection="1">
      <alignment/>
      <protection/>
    </xf>
    <xf numFmtId="179" fontId="31" fillId="0" borderId="12" xfId="0" applyNumberFormat="1" applyFont="1" applyBorder="1" applyAlignment="1" applyProtection="1">
      <alignment horizontal="center"/>
      <protection/>
    </xf>
    <xf numFmtId="179" fontId="31" fillId="0" borderId="14" xfId="0" applyNumberFormat="1" applyFont="1" applyBorder="1" applyAlignment="1" applyProtection="1">
      <alignment horizontal="center"/>
      <protection/>
    </xf>
    <xf numFmtId="179" fontId="31" fillId="0" borderId="11" xfId="0" applyNumberFormat="1" applyFont="1" applyBorder="1" applyAlignment="1" applyProtection="1">
      <alignment horizontal="center"/>
      <protection/>
    </xf>
    <xf numFmtId="0" fontId="11" fillId="2" borderId="0" xfId="0" applyFont="1" applyFill="1" applyAlignment="1" applyProtection="1">
      <alignment/>
      <protection/>
    </xf>
    <xf numFmtId="0" fontId="1" fillId="0" borderId="0" xfId="0" applyFont="1" applyAlignment="1" applyProtection="1">
      <alignment horizontal="center"/>
      <protection/>
    </xf>
    <xf numFmtId="0" fontId="1" fillId="2" borderId="0" xfId="0" applyFont="1" applyFill="1" applyAlignment="1" applyProtection="1">
      <alignment horizontal="center"/>
      <protection/>
    </xf>
    <xf numFmtId="181" fontId="31" fillId="0" borderId="12" xfId="0" applyNumberFormat="1" applyFont="1" applyBorder="1" applyAlignment="1" applyProtection="1">
      <alignment horizontal="center"/>
      <protection/>
    </xf>
    <xf numFmtId="181" fontId="31" fillId="0" borderId="11" xfId="0" applyNumberFormat="1" applyFont="1" applyBorder="1" applyAlignment="1" applyProtection="1">
      <alignment horizontal="center"/>
      <protection/>
    </xf>
    <xf numFmtId="0" fontId="8" fillId="13" borderId="0" xfId="0" applyFont="1" applyFill="1" applyAlignment="1" applyProtection="1">
      <alignment horizontal="center"/>
      <protection/>
    </xf>
    <xf numFmtId="0" fontId="11" fillId="13" borderId="0" xfId="0" applyFont="1" applyFill="1" applyAlignment="1" applyProtection="1">
      <alignment/>
      <protection/>
    </xf>
    <xf numFmtId="0" fontId="24" fillId="13" borderId="0" xfId="0" applyFont="1" applyFill="1" applyAlignment="1" applyProtection="1">
      <alignment/>
      <protection/>
    </xf>
    <xf numFmtId="0" fontId="1" fillId="0" borderId="20" xfId="0" applyFont="1" applyBorder="1" applyAlignment="1" applyProtection="1">
      <alignment vertical="center"/>
      <protection/>
    </xf>
    <xf numFmtId="0" fontId="1" fillId="0" borderId="30" xfId="0" applyFont="1" applyBorder="1" applyAlignment="1" applyProtection="1">
      <alignment vertical="center"/>
      <protection/>
    </xf>
    <xf numFmtId="0" fontId="1" fillId="0" borderId="21" xfId="0" applyFont="1" applyBorder="1" applyAlignment="1" applyProtection="1">
      <alignment horizontal="centerContinuous" vertical="center"/>
      <protection/>
    </xf>
    <xf numFmtId="0" fontId="1" fillId="0" borderId="22" xfId="0" applyFont="1" applyBorder="1" applyAlignment="1" applyProtection="1">
      <alignment horizontal="centerContinuous" vertical="center"/>
      <protection/>
    </xf>
    <xf numFmtId="0" fontId="1" fillId="14" borderId="0" xfId="0" applyFont="1" applyFill="1" applyAlignment="1" applyProtection="1">
      <alignment horizontal="center"/>
      <protection/>
    </xf>
    <xf numFmtId="0" fontId="1" fillId="0" borderId="31" xfId="0" applyFont="1" applyBorder="1" applyAlignment="1" applyProtection="1">
      <alignment/>
      <protection/>
    </xf>
    <xf numFmtId="1" fontId="37" fillId="0" borderId="2" xfId="0" applyNumberFormat="1" applyFont="1" applyBorder="1" applyAlignment="1" applyProtection="1">
      <alignment horizontal="centerContinuous"/>
      <protection/>
    </xf>
    <xf numFmtId="1" fontId="37" fillId="0" borderId="32" xfId="0" applyNumberFormat="1" applyFont="1" applyBorder="1" applyAlignment="1" applyProtection="1">
      <alignment horizontal="centerContinuous"/>
      <protection/>
    </xf>
    <xf numFmtId="0" fontId="1" fillId="0" borderId="13" xfId="0" applyFont="1" applyBorder="1" applyAlignment="1" applyProtection="1">
      <alignment/>
      <protection/>
    </xf>
    <xf numFmtId="0" fontId="1" fillId="0" borderId="26" xfId="0" applyFont="1" applyBorder="1" applyAlignment="1" applyProtection="1">
      <alignment/>
      <protection/>
    </xf>
    <xf numFmtId="0" fontId="1" fillId="0" borderId="29" xfId="0" applyFont="1" applyBorder="1" applyAlignment="1" applyProtection="1">
      <alignment/>
      <protection/>
    </xf>
    <xf numFmtId="1" fontId="37" fillId="0" borderId="3" xfId="0" applyNumberFormat="1" applyFont="1" applyBorder="1" applyAlignment="1" applyProtection="1">
      <alignment horizontal="centerContinuous"/>
      <protection/>
    </xf>
    <xf numFmtId="0" fontId="1" fillId="0" borderId="26" xfId="0" applyFont="1" applyBorder="1" applyAlignment="1" applyProtection="1">
      <alignment horizontal="centerContinuous"/>
      <protection/>
    </xf>
    <xf numFmtId="1" fontId="37" fillId="0" borderId="33" xfId="0" applyNumberFormat="1" applyFont="1" applyBorder="1" applyAlignment="1" applyProtection="1">
      <alignment horizontal="centerContinuous"/>
      <protection/>
    </xf>
    <xf numFmtId="1" fontId="37" fillId="0" borderId="34" xfId="0" applyNumberFormat="1" applyFont="1" applyBorder="1" applyAlignment="1" applyProtection="1">
      <alignment horizontal="centerContinuous"/>
      <protection/>
    </xf>
    <xf numFmtId="0" fontId="3" fillId="0" borderId="0" xfId="0" applyFont="1" applyAlignment="1" applyProtection="1">
      <alignment/>
      <protection/>
    </xf>
    <xf numFmtId="0" fontId="1" fillId="0" borderId="4" xfId="0" applyFont="1" applyBorder="1" applyAlignment="1" applyProtection="1">
      <alignment/>
      <protection/>
    </xf>
    <xf numFmtId="0" fontId="31" fillId="0" borderId="5" xfId="0" applyFont="1" applyBorder="1" applyAlignment="1" applyProtection="1">
      <alignment horizontal="right"/>
      <protection/>
    </xf>
    <xf numFmtId="0" fontId="1" fillId="0" borderId="9" xfId="0" applyFont="1" applyBorder="1" applyAlignment="1" applyProtection="1">
      <alignment/>
      <protection/>
    </xf>
    <xf numFmtId="0" fontId="31" fillId="0" borderId="8" xfId="0" applyFont="1" applyBorder="1" applyAlignment="1" applyProtection="1">
      <alignment horizontal="right"/>
      <protection/>
    </xf>
    <xf numFmtId="0" fontId="14" fillId="13" borderId="0" xfId="0" applyFont="1" applyFill="1" applyAlignment="1" applyProtection="1">
      <alignment horizontal="left"/>
      <protection/>
    </xf>
    <xf numFmtId="0" fontId="40" fillId="13" borderId="0" xfId="0" applyFont="1" applyFill="1" applyAlignment="1" applyProtection="1">
      <alignment horizontal="left"/>
      <protection/>
    </xf>
    <xf numFmtId="0" fontId="19" fillId="0" borderId="9" xfId="0" applyFont="1" applyBorder="1" applyAlignment="1" applyProtection="1">
      <alignment/>
      <protection/>
    </xf>
    <xf numFmtId="0" fontId="1" fillId="0" borderId="8" xfId="0" applyFont="1" applyBorder="1" applyAlignment="1" applyProtection="1">
      <alignment horizontal="centerContinuous"/>
      <protection/>
    </xf>
    <xf numFmtId="0" fontId="31" fillId="0" borderId="9" xfId="0" applyFont="1" applyBorder="1" applyAlignment="1" applyProtection="1">
      <alignment horizontal="right"/>
      <protection/>
    </xf>
    <xf numFmtId="0" fontId="1" fillId="0" borderId="8" xfId="0" applyFont="1" applyBorder="1" applyAlignment="1" applyProtection="1">
      <alignment/>
      <protection/>
    </xf>
    <xf numFmtId="0" fontId="16" fillId="13" borderId="0" xfId="0" applyFont="1" applyFill="1" applyAlignment="1" applyProtection="1">
      <alignment horizontal="center"/>
      <protection/>
    </xf>
    <xf numFmtId="0" fontId="56" fillId="0" borderId="8" xfId="0" applyFont="1" applyBorder="1" applyAlignment="1" applyProtection="1">
      <alignment/>
      <protection/>
    </xf>
    <xf numFmtId="0" fontId="17" fillId="13" borderId="0" xfId="0" applyFont="1" applyFill="1" applyAlignment="1" applyProtection="1">
      <alignment horizontal="left"/>
      <protection/>
    </xf>
    <xf numFmtId="0" fontId="25" fillId="13" borderId="0" xfId="0" applyFont="1" applyFill="1" applyAlignment="1" applyProtection="1">
      <alignment/>
      <protection/>
    </xf>
    <xf numFmtId="0" fontId="8" fillId="13" borderId="0" xfId="0" applyFont="1" applyFill="1" applyAlignment="1" applyProtection="1">
      <alignment/>
      <protection/>
    </xf>
    <xf numFmtId="0" fontId="57" fillId="13" borderId="0" xfId="0" applyFont="1" applyFill="1" applyAlignment="1" applyProtection="1">
      <alignment horizontal="left"/>
      <protection/>
    </xf>
    <xf numFmtId="0" fontId="1" fillId="15" borderId="0" xfId="0" applyFont="1" applyFill="1" applyAlignment="1" applyProtection="1">
      <alignment horizontal="center"/>
      <protection/>
    </xf>
    <xf numFmtId="0" fontId="1" fillId="16" borderId="0" xfId="0" applyFont="1" applyFill="1" applyAlignment="1" applyProtection="1">
      <alignment horizontal="center"/>
      <protection/>
    </xf>
    <xf numFmtId="0" fontId="13" fillId="15" borderId="0" xfId="0" applyFont="1" applyFill="1" applyAlignment="1" applyProtection="1">
      <alignment horizontal="center"/>
      <protection/>
    </xf>
    <xf numFmtId="0" fontId="1" fillId="16" borderId="0" xfId="0" applyFont="1" applyFill="1" applyAlignment="1" applyProtection="1">
      <alignment/>
      <protection/>
    </xf>
    <xf numFmtId="0" fontId="1" fillId="17" borderId="0" xfId="0" applyFont="1" applyFill="1" applyAlignment="1" applyProtection="1">
      <alignment horizontal="center"/>
      <protection/>
    </xf>
    <xf numFmtId="0" fontId="1" fillId="18" borderId="0" xfId="0" applyFont="1" applyFill="1" applyAlignment="1" applyProtection="1">
      <alignment horizontal="center"/>
      <protection/>
    </xf>
    <xf numFmtId="0" fontId="13" fillId="17" borderId="0" xfId="0" applyFont="1" applyFill="1" applyAlignment="1" applyProtection="1">
      <alignment horizontal="center"/>
      <protection/>
    </xf>
    <xf numFmtId="0" fontId="1" fillId="19" borderId="0" xfId="0" applyFont="1" applyFill="1" applyAlignment="1" applyProtection="1">
      <alignment horizontal="center"/>
      <protection/>
    </xf>
    <xf numFmtId="0" fontId="1" fillId="17" borderId="0" xfId="0" applyFont="1" applyFill="1" applyAlignment="1" applyProtection="1">
      <alignment/>
      <protection/>
    </xf>
    <xf numFmtId="0" fontId="13" fillId="14" borderId="0" xfId="0" applyFont="1" applyFill="1" applyAlignment="1" applyProtection="1">
      <alignment horizontal="center"/>
      <protection/>
    </xf>
    <xf numFmtId="0" fontId="1" fillId="14" borderId="0" xfId="0" applyFont="1" applyFill="1" applyAlignment="1" applyProtection="1">
      <alignment horizontal="left"/>
      <protection/>
    </xf>
    <xf numFmtId="0" fontId="1" fillId="2" borderId="20" xfId="0" applyFont="1" applyFill="1" applyBorder="1" applyAlignment="1" applyProtection="1">
      <alignment/>
      <protection/>
    </xf>
    <xf numFmtId="0" fontId="37" fillId="2" borderId="35" xfId="0" applyFont="1" applyFill="1" applyBorder="1" applyAlignment="1" applyProtection="1">
      <alignment horizontal="left"/>
      <protection/>
    </xf>
    <xf numFmtId="0" fontId="1" fillId="2" borderId="0" xfId="0" applyFont="1" applyFill="1" applyBorder="1" applyAlignment="1" applyProtection="1">
      <alignment/>
      <protection/>
    </xf>
    <xf numFmtId="0" fontId="37" fillId="2" borderId="0" xfId="0" applyFont="1" applyFill="1" applyBorder="1" applyAlignment="1" applyProtection="1">
      <alignment horizontal="right"/>
      <protection/>
    </xf>
    <xf numFmtId="0" fontId="0" fillId="0" borderId="0" xfId="0" applyBorder="1" applyAlignment="1" applyProtection="1">
      <alignment/>
      <protection/>
    </xf>
    <xf numFmtId="0" fontId="1" fillId="2" borderId="36" xfId="0" applyFont="1" applyFill="1" applyBorder="1" applyAlignment="1" applyProtection="1">
      <alignment/>
      <protection/>
    </xf>
    <xf numFmtId="0" fontId="31" fillId="0" borderId="35" xfId="0" applyFont="1" applyBorder="1" applyAlignment="1" applyProtection="1">
      <alignment horizontal="right"/>
      <protection/>
    </xf>
    <xf numFmtId="0" fontId="42" fillId="0" borderId="0" xfId="0" applyFont="1" applyBorder="1" applyAlignment="1" applyProtection="1">
      <alignment horizontal="center"/>
      <protection locked="0"/>
    </xf>
    <xf numFmtId="0" fontId="35" fillId="0" borderId="0" xfId="0" applyFont="1" applyBorder="1" applyAlignment="1" applyProtection="1">
      <alignment horizontal="left"/>
      <protection/>
    </xf>
    <xf numFmtId="0" fontId="31"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35" fillId="0" borderId="36" xfId="0" applyFont="1" applyBorder="1" applyAlignment="1" applyProtection="1">
      <alignment horizontal="left"/>
      <protection/>
    </xf>
    <xf numFmtId="0" fontId="30" fillId="0" borderId="0" xfId="0" applyFont="1" applyBorder="1" applyAlignment="1" applyProtection="1">
      <alignment horizontal="right"/>
      <protection/>
    </xf>
    <xf numFmtId="0" fontId="31" fillId="2" borderId="0" xfId="0" applyFont="1" applyFill="1" applyBorder="1" applyAlignment="1" applyProtection="1">
      <alignment/>
      <protection/>
    </xf>
    <xf numFmtId="0" fontId="43" fillId="2" borderId="0" xfId="0" applyFont="1" applyFill="1" applyBorder="1" applyAlignment="1" applyProtection="1">
      <alignment/>
      <protection/>
    </xf>
    <xf numFmtId="0" fontId="2" fillId="0" borderId="0" xfId="0" applyFont="1" applyBorder="1" applyAlignment="1" applyProtection="1">
      <alignment/>
      <protection/>
    </xf>
    <xf numFmtId="0" fontId="1" fillId="0" borderId="36" xfId="0" applyFont="1" applyBorder="1" applyAlignment="1" applyProtection="1">
      <alignment horizontal="left"/>
      <protection/>
    </xf>
    <xf numFmtId="0" fontId="35" fillId="0" borderId="0" xfId="0" applyFont="1" applyBorder="1" applyAlignment="1" applyProtection="1">
      <alignment horizontal="right"/>
      <protection/>
    </xf>
    <xf numFmtId="0" fontId="37" fillId="0" borderId="0" xfId="0" applyFont="1" applyBorder="1" applyAlignment="1" applyProtection="1">
      <alignment/>
      <protection/>
    </xf>
    <xf numFmtId="0" fontId="45" fillId="0" borderId="0" xfId="0" applyFont="1" applyBorder="1" applyAlignment="1" applyProtection="1">
      <alignment/>
      <protection/>
    </xf>
    <xf numFmtId="0" fontId="47" fillId="0" borderId="0" xfId="0" applyFont="1" applyBorder="1" applyAlignment="1" applyProtection="1">
      <alignment/>
      <protection/>
    </xf>
    <xf numFmtId="0" fontId="37" fillId="0" borderId="35" xfId="0" applyFont="1" applyBorder="1" applyAlignment="1" applyProtection="1">
      <alignment horizontal="right"/>
      <protection/>
    </xf>
    <xf numFmtId="0" fontId="46" fillId="0" borderId="0" xfId="0" applyFont="1" applyBorder="1" applyAlignment="1" applyProtection="1">
      <alignment/>
      <protection/>
    </xf>
    <xf numFmtId="0" fontId="41" fillId="0" borderId="0" xfId="0" applyFont="1" applyBorder="1" applyAlignment="1" applyProtection="1">
      <alignment horizontal="left"/>
      <protection/>
    </xf>
    <xf numFmtId="0" fontId="31" fillId="0" borderId="36" xfId="0" applyFont="1" applyBorder="1" applyAlignment="1" applyProtection="1">
      <alignment horizontal="left"/>
      <protection/>
    </xf>
    <xf numFmtId="0" fontId="35" fillId="0" borderId="36" xfId="0" applyFont="1" applyBorder="1" applyAlignment="1" applyProtection="1">
      <alignment horizontal="right"/>
      <protection/>
    </xf>
    <xf numFmtId="0" fontId="46" fillId="0" borderId="0" xfId="0" applyFont="1" applyBorder="1" applyAlignment="1" applyProtection="1">
      <alignment horizontal="right"/>
      <protection/>
    </xf>
    <xf numFmtId="0" fontId="1" fillId="0" borderId="0" xfId="0" applyFont="1" applyBorder="1" applyAlignment="1" applyProtection="1">
      <alignment horizontal="centerContinuous"/>
      <protection/>
    </xf>
    <xf numFmtId="0" fontId="1" fillId="0" borderId="36" xfId="0" applyFont="1" applyBorder="1" applyAlignment="1" applyProtection="1">
      <alignment horizontal="centerContinuous"/>
      <protection/>
    </xf>
    <xf numFmtId="0" fontId="2" fillId="0" borderId="35" xfId="0" applyFont="1" applyBorder="1" applyAlignment="1" applyProtection="1">
      <alignment/>
      <protection/>
    </xf>
    <xf numFmtId="0" fontId="31" fillId="2" borderId="0" xfId="0" applyFont="1" applyFill="1" applyBorder="1" applyAlignment="1" applyProtection="1">
      <alignment horizontal="center"/>
      <protection/>
    </xf>
    <xf numFmtId="0" fontId="31" fillId="2" borderId="36" xfId="0" applyFont="1" applyFill="1" applyBorder="1" applyAlignment="1" applyProtection="1">
      <alignment horizontal="center"/>
      <protection/>
    </xf>
    <xf numFmtId="0" fontId="31" fillId="2" borderId="0" xfId="0" applyFont="1" applyFill="1" applyBorder="1" applyAlignment="1" applyProtection="1">
      <alignment horizontal="left"/>
      <protection/>
    </xf>
    <xf numFmtId="0" fontId="9" fillId="2" borderId="35" xfId="0" applyFont="1" applyFill="1" applyBorder="1" applyAlignment="1" applyProtection="1">
      <alignment horizontal="right"/>
      <protection/>
    </xf>
    <xf numFmtId="0" fontId="46" fillId="0" borderId="37" xfId="0" applyFont="1" applyBorder="1" applyAlignment="1" applyProtection="1">
      <alignment horizontal="center"/>
      <protection/>
    </xf>
    <xf numFmtId="0" fontId="33" fillId="0" borderId="35" xfId="0" applyFont="1" applyBorder="1" applyAlignment="1" applyProtection="1">
      <alignment horizontal="center"/>
      <protection/>
    </xf>
    <xf numFmtId="0" fontId="46" fillId="0" borderId="38" xfId="0" applyFont="1" applyBorder="1" applyAlignment="1" applyProtection="1">
      <alignment horizontal="center"/>
      <protection/>
    </xf>
    <xf numFmtId="0" fontId="31" fillId="0" borderId="36" xfId="0" applyFont="1" applyBorder="1" applyAlignment="1" applyProtection="1">
      <alignment horizontal="center"/>
      <protection/>
    </xf>
    <xf numFmtId="0" fontId="9" fillId="0" borderId="35" xfId="0" applyFont="1" applyBorder="1" applyAlignment="1" applyProtection="1">
      <alignment horizontal="right"/>
      <protection/>
    </xf>
    <xf numFmtId="0" fontId="1" fillId="0" borderId="36" xfId="0" applyFont="1" applyBorder="1" applyAlignment="1" applyProtection="1">
      <alignment/>
      <protection/>
    </xf>
    <xf numFmtId="0" fontId="46" fillId="0" borderId="35" xfId="0" applyFont="1" applyBorder="1" applyAlignment="1" applyProtection="1">
      <alignment/>
      <protection/>
    </xf>
    <xf numFmtId="0" fontId="1" fillId="0" borderId="35" xfId="0" applyFont="1" applyBorder="1" applyAlignment="1" applyProtection="1">
      <alignment/>
      <protection/>
    </xf>
    <xf numFmtId="0" fontId="50" fillId="0" borderId="35" xfId="0" applyFont="1" applyBorder="1" applyAlignment="1" applyProtection="1">
      <alignment horizontal="center"/>
      <protection/>
    </xf>
    <xf numFmtId="2" fontId="31" fillId="0" borderId="0" xfId="0" applyNumberFormat="1" applyFont="1" applyBorder="1" applyAlignment="1" applyProtection="1">
      <alignment horizontal="center"/>
      <protection/>
    </xf>
    <xf numFmtId="0" fontId="31" fillId="2" borderId="35" xfId="0" applyFont="1" applyFill="1" applyBorder="1" applyAlignment="1" applyProtection="1">
      <alignment horizontal="center"/>
      <protection/>
    </xf>
    <xf numFmtId="0" fontId="31" fillId="0" borderId="0" xfId="0" applyFont="1" applyBorder="1" applyAlignment="1" applyProtection="1">
      <alignment/>
      <protection/>
    </xf>
    <xf numFmtId="0" fontId="31" fillId="0" borderId="36" xfId="0" applyFont="1" applyBorder="1" applyAlignment="1" applyProtection="1">
      <alignment/>
      <protection/>
    </xf>
    <xf numFmtId="0" fontId="1" fillId="0" borderId="0" xfId="0" applyFont="1" applyBorder="1" applyAlignment="1" applyProtection="1">
      <alignment/>
      <protection/>
    </xf>
    <xf numFmtId="0" fontId="31" fillId="0" borderId="35" xfId="0" applyFont="1" applyBorder="1" applyAlignment="1" applyProtection="1">
      <alignment horizontal="centerContinuous"/>
      <protection/>
    </xf>
    <xf numFmtId="2" fontId="31" fillId="0" borderId="36" xfId="0" applyNumberFormat="1" applyFont="1" applyBorder="1" applyAlignment="1" applyProtection="1">
      <alignment horizontal="center"/>
      <protection/>
    </xf>
    <xf numFmtId="0" fontId="31" fillId="0" borderId="39" xfId="0" applyFont="1" applyBorder="1" applyAlignment="1" applyProtection="1">
      <alignment horizontal="centerContinuous"/>
      <protection/>
    </xf>
    <xf numFmtId="2" fontId="31" fillId="0" borderId="40" xfId="0" applyNumberFormat="1" applyFont="1" applyBorder="1" applyAlignment="1" applyProtection="1">
      <alignment horizontal="center"/>
      <protection/>
    </xf>
    <xf numFmtId="0" fontId="9" fillId="2" borderId="0" xfId="0" applyFont="1" applyFill="1" applyBorder="1" applyAlignment="1" applyProtection="1">
      <alignment horizontal="right"/>
      <protection/>
    </xf>
    <xf numFmtId="0" fontId="33" fillId="0" borderId="0" xfId="0" applyFont="1" applyBorder="1" applyAlignment="1" applyProtection="1">
      <alignment horizontal="center"/>
      <protection/>
    </xf>
    <xf numFmtId="0" fontId="46" fillId="0" borderId="5" xfId="0" applyFont="1" applyBorder="1" applyAlignment="1" applyProtection="1">
      <alignment horizontal="center"/>
      <protection/>
    </xf>
    <xf numFmtId="0" fontId="37" fillId="2" borderId="41" xfId="0" applyFont="1" applyFill="1" applyBorder="1" applyAlignment="1" applyProtection="1">
      <alignment horizontal="left"/>
      <protection/>
    </xf>
    <xf numFmtId="0" fontId="1" fillId="0" borderId="20" xfId="0" applyFont="1" applyBorder="1" applyAlignment="1" applyProtection="1">
      <alignment/>
      <protection/>
    </xf>
    <xf numFmtId="0" fontId="1" fillId="0" borderId="42" xfId="0" applyFont="1" applyBorder="1" applyAlignment="1" applyProtection="1">
      <alignment/>
      <protection/>
    </xf>
    <xf numFmtId="0" fontId="37" fillId="0" borderId="0" xfId="0" applyFont="1" applyBorder="1" applyAlignment="1" applyProtection="1">
      <alignment horizontal="centerContinuous"/>
      <protection/>
    </xf>
    <xf numFmtId="0" fontId="2" fillId="0" borderId="0" xfId="0" applyFont="1" applyBorder="1" applyAlignment="1" applyProtection="1">
      <alignment horizontal="centerContinuous"/>
      <protection/>
    </xf>
    <xf numFmtId="0" fontId="10" fillId="0" borderId="35" xfId="0" applyFont="1" applyBorder="1" applyAlignment="1" applyProtection="1">
      <alignment/>
      <protection/>
    </xf>
    <xf numFmtId="0" fontId="11" fillId="0" borderId="0" xfId="0" applyFont="1" applyBorder="1" applyAlignment="1" applyProtection="1">
      <alignment horizontal="center"/>
      <protection/>
    </xf>
    <xf numFmtId="0" fontId="11" fillId="2" borderId="0" xfId="0" applyFont="1" applyFill="1" applyBorder="1" applyAlignment="1" applyProtection="1">
      <alignment horizontal="center"/>
      <protection/>
    </xf>
    <xf numFmtId="0" fontId="11" fillId="0" borderId="36" xfId="0" applyFont="1" applyBorder="1" applyAlignment="1" applyProtection="1">
      <alignment horizontal="center"/>
      <protection/>
    </xf>
    <xf numFmtId="0" fontId="48" fillId="0" borderId="35" xfId="0" applyFont="1" applyBorder="1" applyAlignment="1" applyProtection="1">
      <alignment horizontal="centerContinuous"/>
      <protection/>
    </xf>
    <xf numFmtId="0" fontId="11" fillId="0" borderId="35" xfId="0" applyFont="1" applyBorder="1" applyAlignment="1" applyProtection="1">
      <alignment/>
      <protection/>
    </xf>
    <xf numFmtId="181" fontId="31" fillId="0" borderId="0" xfId="0" applyNumberFormat="1" applyFont="1" applyBorder="1" applyAlignment="1" applyProtection="1">
      <alignment horizontal="center"/>
      <protection/>
    </xf>
    <xf numFmtId="179" fontId="31" fillId="0" borderId="0" xfId="0" applyNumberFormat="1" applyFont="1" applyBorder="1" applyAlignment="1" applyProtection="1">
      <alignment horizontal="center"/>
      <protection/>
    </xf>
    <xf numFmtId="0" fontId="31" fillId="0" borderId="0" xfId="0" applyFont="1" applyBorder="1" applyAlignment="1" applyProtection="1">
      <alignment horizontal="center"/>
      <protection/>
    </xf>
    <xf numFmtId="0" fontId="1" fillId="2" borderId="35" xfId="0" applyFont="1" applyFill="1" applyBorder="1" applyAlignment="1" applyProtection="1">
      <alignment/>
      <protection/>
    </xf>
    <xf numFmtId="0" fontId="11" fillId="0" borderId="0" xfId="0" applyFont="1" applyBorder="1" applyAlignment="1" applyProtection="1">
      <alignment/>
      <protection/>
    </xf>
    <xf numFmtId="0" fontId="11" fillId="2" borderId="0" xfId="0" applyFont="1" applyFill="1" applyBorder="1" applyAlignment="1" applyProtection="1">
      <alignment/>
      <protection/>
    </xf>
    <xf numFmtId="0" fontId="1" fillId="0" borderId="36" xfId="0" applyFont="1" applyBorder="1" applyAlignment="1" applyProtection="1">
      <alignment horizontal="center"/>
      <protection/>
    </xf>
    <xf numFmtId="0" fontId="12" fillId="0" borderId="0" xfId="0" applyFont="1" applyBorder="1" applyAlignment="1" applyProtection="1">
      <alignment/>
      <protection/>
    </xf>
    <xf numFmtId="0" fontId="12" fillId="2" borderId="0" xfId="0" applyFont="1" applyFill="1" applyBorder="1" applyAlignment="1" applyProtection="1">
      <alignment/>
      <protection/>
    </xf>
    <xf numFmtId="0" fontId="37" fillId="0" borderId="39" xfId="0" applyFont="1" applyBorder="1" applyAlignment="1" applyProtection="1">
      <alignment horizontal="center"/>
      <protection/>
    </xf>
    <xf numFmtId="2" fontId="45" fillId="2" borderId="43" xfId="0" applyNumberFormat="1" applyFont="1" applyFill="1" applyBorder="1" applyAlignment="1" applyProtection="1">
      <alignment horizontal="center"/>
      <protection/>
    </xf>
    <xf numFmtId="2" fontId="45" fillId="2" borderId="40" xfId="0" applyNumberFormat="1" applyFont="1" applyFill="1" applyBorder="1" applyAlignment="1" applyProtection="1">
      <alignment horizontal="center"/>
      <protection/>
    </xf>
    <xf numFmtId="0" fontId="1" fillId="0" borderId="44" xfId="0" applyFont="1" applyBorder="1" applyAlignment="1" applyProtection="1">
      <alignment/>
      <protection/>
    </xf>
    <xf numFmtId="0" fontId="38" fillId="0" borderId="35" xfId="0" applyFont="1" applyBorder="1" applyAlignment="1" applyProtection="1">
      <alignment horizontal="right"/>
      <protection/>
    </xf>
    <xf numFmtId="181" fontId="35" fillId="0" borderId="0" xfId="0" applyNumberFormat="1" applyFont="1" applyBorder="1" applyAlignment="1" applyProtection="1">
      <alignment horizontal="center"/>
      <protection/>
    </xf>
    <xf numFmtId="0" fontId="31" fillId="0" borderId="37" xfId="0" applyFont="1" applyBorder="1" applyAlignment="1" applyProtection="1">
      <alignment horizontal="right"/>
      <protection/>
    </xf>
    <xf numFmtId="0" fontId="31" fillId="0" borderId="36" xfId="0" applyFont="1" applyBorder="1" applyAlignment="1" applyProtection="1">
      <alignment horizontal="right"/>
      <protection/>
    </xf>
    <xf numFmtId="1" fontId="31" fillId="0" borderId="0" xfId="0" applyNumberFormat="1" applyFont="1" applyBorder="1" applyAlignment="1" applyProtection="1">
      <alignment horizontal="center"/>
      <protection/>
    </xf>
    <xf numFmtId="0" fontId="55" fillId="0" borderId="0" xfId="0" applyFont="1" applyBorder="1" applyAlignment="1" applyProtection="1">
      <alignment horizontal="left"/>
      <protection/>
    </xf>
    <xf numFmtId="0" fontId="31" fillId="0" borderId="0" xfId="0" applyFont="1" applyBorder="1" applyAlignment="1" applyProtection="1">
      <alignment horizontal="centerContinuous"/>
      <protection/>
    </xf>
    <xf numFmtId="181" fontId="35" fillId="0" borderId="0" xfId="0" applyNumberFormat="1" applyFont="1" applyBorder="1" applyAlignment="1" applyProtection="1">
      <alignment horizontal="centerContinuous"/>
      <protection/>
    </xf>
    <xf numFmtId="0" fontId="56" fillId="0" borderId="36" xfId="0" applyFont="1" applyBorder="1" applyAlignment="1" applyProtection="1">
      <alignment/>
      <protection/>
    </xf>
    <xf numFmtId="0" fontId="46" fillId="2" borderId="35" xfId="0" applyFont="1" applyFill="1" applyBorder="1" applyAlignment="1" applyProtection="1">
      <alignment/>
      <protection/>
    </xf>
    <xf numFmtId="0" fontId="46" fillId="0" borderId="39" xfId="0" applyFont="1" applyBorder="1" applyAlignment="1" applyProtection="1">
      <alignment/>
      <protection/>
    </xf>
    <xf numFmtId="0" fontId="31" fillId="0" borderId="43" xfId="0" applyFont="1" applyBorder="1" applyAlignment="1" applyProtection="1">
      <alignment horizontal="centerContinuous"/>
      <protection/>
    </xf>
    <xf numFmtId="181" fontId="35" fillId="0" borderId="45" xfId="0" applyNumberFormat="1" applyFont="1" applyBorder="1" applyAlignment="1" applyProtection="1">
      <alignment horizontal="centerContinuous"/>
      <protection/>
    </xf>
    <xf numFmtId="0" fontId="1" fillId="0" borderId="46" xfId="0" applyFont="1" applyBorder="1" applyAlignment="1" applyProtection="1">
      <alignment horizontal="right"/>
      <protection/>
    </xf>
    <xf numFmtId="0" fontId="56" fillId="0" borderId="45" xfId="0" applyFont="1" applyBorder="1" applyAlignment="1" applyProtection="1">
      <alignment horizontal="center"/>
      <protection/>
    </xf>
    <xf numFmtId="0" fontId="56" fillId="0" borderId="40" xfId="0" applyFont="1" applyBorder="1" applyAlignment="1" applyProtection="1">
      <alignment horizontal="center"/>
      <protection/>
    </xf>
    <xf numFmtId="0" fontId="1" fillId="0" borderId="41" xfId="0" applyFont="1" applyBorder="1" applyAlignment="1" applyProtection="1">
      <alignment/>
      <protection/>
    </xf>
    <xf numFmtId="0" fontId="9" fillId="0" borderId="0" xfId="0" applyFont="1" applyBorder="1" applyAlignment="1" applyProtection="1">
      <alignment horizontal="right"/>
      <protection/>
    </xf>
    <xf numFmtId="0" fontId="50" fillId="0" borderId="0" xfId="0" applyFont="1" applyBorder="1" applyAlignment="1" applyProtection="1">
      <alignment horizontal="center"/>
      <protection/>
    </xf>
    <xf numFmtId="0" fontId="18" fillId="0" borderId="0" xfId="0" applyFont="1" applyBorder="1" applyAlignment="1" applyProtection="1">
      <alignment horizontal="right"/>
      <protection/>
    </xf>
    <xf numFmtId="0" fontId="37" fillId="0" borderId="35" xfId="0" applyFont="1" applyBorder="1" applyAlignment="1" applyProtection="1">
      <alignment horizontal="left"/>
      <protection/>
    </xf>
    <xf numFmtId="181" fontId="31" fillId="0" borderId="36" xfId="0" applyNumberFormat="1" applyFont="1" applyBorder="1" applyAlignment="1" applyProtection="1">
      <alignment horizontal="center"/>
      <protection/>
    </xf>
    <xf numFmtId="0" fontId="38" fillId="2" borderId="35" xfId="0" applyFont="1" applyFill="1" applyBorder="1" applyAlignment="1" applyProtection="1">
      <alignment horizontal="right"/>
      <protection/>
    </xf>
    <xf numFmtId="0" fontId="31" fillId="0" borderId="35" xfId="0" applyFont="1" applyBorder="1" applyAlignment="1" applyProtection="1">
      <alignment horizontal="center"/>
      <protection/>
    </xf>
    <xf numFmtId="0" fontId="37" fillId="0" borderId="39" xfId="0" applyFont="1" applyBorder="1" applyAlignment="1" applyProtection="1">
      <alignment vertical="center"/>
      <protection/>
    </xf>
    <xf numFmtId="0" fontId="31" fillId="0" borderId="43" xfId="0" applyFont="1" applyBorder="1" applyAlignment="1" applyProtection="1">
      <alignment horizontal="right" vertical="center"/>
      <protection/>
    </xf>
    <xf numFmtId="2" fontId="67" fillId="0" borderId="43" xfId="0" applyNumberFormat="1" applyFont="1" applyBorder="1" applyAlignment="1" applyProtection="1">
      <alignment horizontal="left" vertical="center"/>
      <protection/>
    </xf>
    <xf numFmtId="0" fontId="1" fillId="0" borderId="43" xfId="0" applyFont="1" applyBorder="1" applyAlignment="1" applyProtection="1">
      <alignment vertical="center"/>
      <protection/>
    </xf>
    <xf numFmtId="0" fontId="31" fillId="0" borderId="43" xfId="0" applyFont="1" applyBorder="1" applyAlignment="1" applyProtection="1">
      <alignment horizontal="centerContinuous" vertical="center"/>
      <protection/>
    </xf>
    <xf numFmtId="181" fontId="66" fillId="0" borderId="40" xfId="0" applyNumberFormat="1" applyFont="1" applyBorder="1" applyAlignment="1" applyProtection="1">
      <alignment horizontal="center" vertical="center"/>
      <protection/>
    </xf>
    <xf numFmtId="0" fontId="48" fillId="0" borderId="0" xfId="0" applyFont="1" applyBorder="1" applyAlignment="1" applyProtection="1">
      <alignment horizontal="right"/>
      <protection/>
    </xf>
    <xf numFmtId="0" fontId="48" fillId="0" borderId="0" xfId="0" applyFont="1" applyBorder="1" applyAlignment="1" applyProtection="1">
      <alignment horizontal="center"/>
      <protection/>
    </xf>
    <xf numFmtId="0" fontId="48" fillId="0" borderId="36" xfId="0" applyFont="1" applyBorder="1" applyAlignment="1" applyProtection="1">
      <alignment horizontal="center"/>
      <protection/>
    </xf>
    <xf numFmtId="0" fontId="0" fillId="20" borderId="0" xfId="0" applyFill="1" applyAlignment="1">
      <alignment/>
    </xf>
    <xf numFmtId="2" fontId="35" fillId="0" borderId="35" xfId="0" applyNumberFormat="1" applyFont="1" applyBorder="1" applyAlignment="1">
      <alignment horizontal="center"/>
    </xf>
    <xf numFmtId="0" fontId="1" fillId="0" borderId="0" xfId="0" applyFont="1" applyBorder="1" applyAlignment="1">
      <alignment/>
    </xf>
    <xf numFmtId="0" fontId="21" fillId="2" borderId="0" xfId="0" applyFont="1" applyFill="1" applyBorder="1" applyAlignment="1">
      <alignment/>
    </xf>
    <xf numFmtId="0" fontId="1" fillId="2" borderId="0"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horizontal="left"/>
    </xf>
    <xf numFmtId="0" fontId="37" fillId="2" borderId="35" xfId="0" applyFont="1" applyFill="1" applyBorder="1" applyAlignment="1">
      <alignment horizontal="left"/>
    </xf>
    <xf numFmtId="0" fontId="31" fillId="2" borderId="0" xfId="0" applyFont="1" applyFill="1" applyBorder="1" applyAlignment="1">
      <alignment horizontal="center"/>
    </xf>
    <xf numFmtId="0" fontId="31" fillId="0" borderId="35" xfId="0" applyFont="1" applyBorder="1" applyAlignment="1">
      <alignment horizontal="right"/>
    </xf>
    <xf numFmtId="0" fontId="35" fillId="0" borderId="0" xfId="0" applyFont="1" applyBorder="1" applyAlignment="1">
      <alignment horizontal="center"/>
    </xf>
    <xf numFmtId="2" fontId="31" fillId="0" borderId="0" xfId="0" applyNumberFormat="1" applyFont="1" applyBorder="1" applyAlignment="1">
      <alignment horizontal="center"/>
    </xf>
    <xf numFmtId="179" fontId="58" fillId="0" borderId="0" xfId="0" applyNumberFormat="1" applyFont="1" applyBorder="1" applyAlignment="1">
      <alignment horizontal="center"/>
    </xf>
    <xf numFmtId="2" fontId="58" fillId="0" borderId="0" xfId="0" applyNumberFormat="1" applyFont="1" applyBorder="1" applyAlignment="1">
      <alignment horizontal="center"/>
    </xf>
    <xf numFmtId="183" fontId="31" fillId="0" borderId="0" xfId="0" applyNumberFormat="1" applyFont="1" applyBorder="1" applyAlignment="1">
      <alignment horizontal="center"/>
    </xf>
    <xf numFmtId="181" fontId="31" fillId="0" borderId="0" xfId="0" applyNumberFormat="1" applyFont="1" applyBorder="1" applyAlignment="1">
      <alignment horizontal="center"/>
    </xf>
    <xf numFmtId="1" fontId="31" fillId="0" borderId="0" xfId="0" applyNumberFormat="1" applyFont="1" applyBorder="1" applyAlignment="1">
      <alignment horizontal="center"/>
    </xf>
    <xf numFmtId="10" fontId="31" fillId="0" borderId="0" xfId="0" applyNumberFormat="1" applyFont="1" applyBorder="1" applyAlignment="1">
      <alignment horizontal="center"/>
    </xf>
    <xf numFmtId="0" fontId="48" fillId="0" borderId="35" xfId="0" applyFont="1" applyBorder="1" applyAlignment="1">
      <alignment horizontal="center"/>
    </xf>
    <xf numFmtId="0" fontId="43" fillId="0" borderId="0" xfId="0" applyFont="1" applyBorder="1" applyAlignment="1">
      <alignment horizontal="center"/>
    </xf>
    <xf numFmtId="181" fontId="31" fillId="0" borderId="0" xfId="0" applyNumberFormat="1" applyFont="1" applyBorder="1" applyAlignment="1">
      <alignment horizontal="left"/>
    </xf>
    <xf numFmtId="0" fontId="41" fillId="0" borderId="0" xfId="0" applyFont="1" applyBorder="1" applyAlignment="1">
      <alignment horizontal="right"/>
    </xf>
    <xf numFmtId="0" fontId="0" fillId="0" borderId="35" xfId="0" applyBorder="1" applyAlignment="1">
      <alignment/>
    </xf>
    <xf numFmtId="2" fontId="31" fillId="2" borderId="0" xfId="0" applyNumberFormat="1" applyFont="1" applyFill="1" applyBorder="1" applyAlignment="1">
      <alignment horizontal="center"/>
    </xf>
    <xf numFmtId="1" fontId="58" fillId="2" borderId="0" xfId="0" applyNumberFormat="1" applyFont="1" applyFill="1" applyBorder="1" applyAlignment="1">
      <alignment horizontal="center"/>
    </xf>
    <xf numFmtId="0" fontId="31" fillId="0" borderId="39" xfId="0" applyFont="1" applyBorder="1" applyAlignment="1">
      <alignment horizontal="right"/>
    </xf>
    <xf numFmtId="0" fontId="35" fillId="0" borderId="43" xfId="0" applyFont="1" applyBorder="1" applyAlignment="1">
      <alignment horizontal="center"/>
    </xf>
    <xf numFmtId="0" fontId="41" fillId="0" borderId="43" xfId="0" applyFont="1" applyBorder="1" applyAlignment="1">
      <alignment horizontal="right"/>
    </xf>
    <xf numFmtId="0" fontId="67" fillId="13" borderId="0" xfId="0" applyFont="1" applyFill="1" applyAlignment="1" applyProtection="1">
      <alignment horizontal="left"/>
      <protection/>
    </xf>
    <xf numFmtId="0" fontId="69" fillId="0" borderId="0" xfId="0" applyFont="1" applyBorder="1" applyAlignment="1" applyProtection="1">
      <alignment horizontal="left"/>
      <protection/>
    </xf>
    <xf numFmtId="1" fontId="34" fillId="0" borderId="32" xfId="0" applyNumberFormat="1" applyFont="1" applyBorder="1" applyAlignment="1" applyProtection="1">
      <alignment horizontal="center"/>
      <protection locked="0"/>
    </xf>
    <xf numFmtId="1" fontId="35" fillId="0" borderId="25" xfId="0" applyNumberFormat="1" applyFont="1" applyBorder="1" applyAlignment="1" applyProtection="1">
      <alignment horizontal="left"/>
      <protection/>
    </xf>
    <xf numFmtId="1" fontId="34" fillId="0" borderId="28" xfId="0" applyNumberFormat="1" applyFont="1" applyBorder="1" applyAlignment="1" applyProtection="1">
      <alignment horizontal="centerContinuous"/>
      <protection locked="0"/>
    </xf>
    <xf numFmtId="1" fontId="34" fillId="0" borderId="34" xfId="0" applyNumberFormat="1" applyFont="1" applyBorder="1" applyAlignment="1" applyProtection="1">
      <alignment horizontal="center"/>
      <protection locked="0"/>
    </xf>
    <xf numFmtId="0" fontId="70" fillId="13" borderId="0" xfId="0" applyFont="1" applyFill="1" applyAlignment="1" applyProtection="1">
      <alignment/>
      <protection/>
    </xf>
    <xf numFmtId="0" fontId="18" fillId="0" borderId="41" xfId="0" applyFont="1" applyBorder="1" applyAlignment="1" applyProtection="1">
      <alignment horizontal="right"/>
      <protection/>
    </xf>
    <xf numFmtId="0" fontId="70" fillId="2" borderId="20" xfId="0" applyFont="1" applyFill="1" applyBorder="1" applyAlignment="1" applyProtection="1">
      <alignment/>
      <protection/>
    </xf>
    <xf numFmtId="0" fontId="18" fillId="0" borderId="35" xfId="0" applyFont="1" applyBorder="1" applyAlignment="1" applyProtection="1">
      <alignment horizontal="right"/>
      <protection/>
    </xf>
    <xf numFmtId="0" fontId="70" fillId="2" borderId="0" xfId="0" applyFont="1" applyFill="1" applyBorder="1" applyAlignment="1" applyProtection="1">
      <alignment/>
      <protection/>
    </xf>
    <xf numFmtId="0" fontId="70" fillId="2" borderId="36" xfId="0" applyFont="1" applyFill="1" applyBorder="1" applyAlignment="1" applyProtection="1">
      <alignment/>
      <protection/>
    </xf>
    <xf numFmtId="49" fontId="42" fillId="0" borderId="0" xfId="0" applyNumberFormat="1" applyFont="1" applyBorder="1" applyAlignment="1" applyProtection="1">
      <alignment horizontal="center"/>
      <protection locked="0"/>
    </xf>
    <xf numFmtId="49" fontId="42" fillId="0" borderId="0" xfId="0" applyNumberFormat="1" applyFont="1" applyBorder="1" applyAlignment="1" applyProtection="1">
      <alignment horizontal="left"/>
      <protection locked="0"/>
    </xf>
    <xf numFmtId="0" fontId="33" fillId="0" borderId="0" xfId="0" applyFont="1" applyBorder="1" applyAlignment="1" applyProtection="1">
      <alignment horizontal="right"/>
      <protection/>
    </xf>
    <xf numFmtId="0" fontId="71" fillId="0" borderId="0" xfId="0" applyFont="1" applyBorder="1" applyAlignment="1" applyProtection="1">
      <alignment horizontal="right"/>
      <protection/>
    </xf>
    <xf numFmtId="0" fontId="31" fillId="0" borderId="43" xfId="0" applyFont="1" applyBorder="1" applyAlignment="1" applyProtection="1">
      <alignment horizontal="right"/>
      <protection/>
    </xf>
    <xf numFmtId="0" fontId="48" fillId="0" borderId="6" xfId="0" applyFont="1" applyBorder="1" applyAlignment="1" applyProtection="1">
      <alignment horizontal="center"/>
      <protection/>
    </xf>
    <xf numFmtId="0" fontId="48" fillId="0" borderId="7" xfId="0" applyFont="1" applyBorder="1" applyAlignment="1" applyProtection="1">
      <alignment horizontal="center"/>
      <protection/>
    </xf>
    <xf numFmtId="0" fontId="48" fillId="0" borderId="10" xfId="0" applyFont="1" applyBorder="1" applyAlignment="1" applyProtection="1">
      <alignment horizontal="center"/>
      <protection/>
    </xf>
    <xf numFmtId="0" fontId="31" fillId="0" borderId="0" xfId="0" applyNumberFormat="1" applyFont="1" applyAlignment="1" applyProtection="1">
      <alignment horizontal="center"/>
      <protection/>
    </xf>
    <xf numFmtId="0" fontId="31" fillId="0" borderId="10" xfId="0" applyNumberFormat="1" applyFont="1" applyBorder="1" applyAlignment="1" applyProtection="1">
      <alignment horizontal="center"/>
      <protection/>
    </xf>
    <xf numFmtId="0" fontId="31" fillId="0" borderId="7" xfId="0" applyNumberFormat="1" applyFont="1" applyBorder="1" applyAlignment="1" applyProtection="1">
      <alignment horizontal="center"/>
      <protection/>
    </xf>
    <xf numFmtId="0" fontId="31" fillId="0" borderId="6" xfId="0" applyNumberFormat="1" applyFont="1" applyBorder="1" applyAlignment="1" applyProtection="1">
      <alignment horizontal="center"/>
      <protection/>
    </xf>
    <xf numFmtId="0" fontId="64" fillId="0" borderId="0" xfId="0" applyNumberFormat="1" applyFont="1" applyAlignment="1" applyProtection="1">
      <alignment horizontal="center"/>
      <protection/>
    </xf>
    <xf numFmtId="0" fontId="73" fillId="0" borderId="0" xfId="0" applyFont="1" applyAlignment="1">
      <alignment horizontal="center"/>
    </xf>
    <xf numFmtId="2" fontId="31" fillId="0" borderId="0" xfId="0" applyNumberFormat="1" applyFont="1" applyAlignment="1" applyProtection="1">
      <alignment horizontal="center"/>
      <protection/>
    </xf>
    <xf numFmtId="49" fontId="65" fillId="2" borderId="35" xfId="0" applyNumberFormat="1" applyFont="1" applyFill="1" applyBorder="1" applyAlignment="1" applyProtection="1">
      <alignment horizontal="center" vertical="top"/>
      <protection/>
    </xf>
    <xf numFmtId="0" fontId="0" fillId="0" borderId="0" xfId="0" applyBorder="1" applyAlignment="1" applyProtection="1">
      <alignment vertical="top"/>
      <protection/>
    </xf>
    <xf numFmtId="49" fontId="65" fillId="2" borderId="36" xfId="0" applyNumberFormat="1" applyFont="1" applyFill="1" applyBorder="1" applyAlignment="1" applyProtection="1">
      <alignment horizontal="left" vertical="top"/>
      <protection/>
    </xf>
    <xf numFmtId="0" fontId="8" fillId="13" borderId="0" xfId="0" applyFont="1" applyFill="1" applyAlignment="1" applyProtection="1">
      <alignment/>
      <protection/>
    </xf>
    <xf numFmtId="0" fontId="75" fillId="13" borderId="0" xfId="0" applyFont="1" applyFill="1" applyAlignment="1" applyProtection="1">
      <alignment/>
      <protection/>
    </xf>
    <xf numFmtId="0" fontId="62" fillId="13" borderId="0" xfId="0" applyFont="1" applyFill="1" applyAlignment="1" applyProtection="1">
      <alignment horizontal="left"/>
      <protection/>
    </xf>
    <xf numFmtId="0" fontId="76" fillId="21" borderId="0" xfId="0" applyFont="1" applyFill="1" applyAlignment="1" applyProtection="1">
      <alignment horizontal="left" indent="1"/>
      <protection locked="0"/>
    </xf>
    <xf numFmtId="49" fontId="65" fillId="2" borderId="35" xfId="0" applyNumberFormat="1" applyFont="1" applyFill="1" applyBorder="1" applyAlignment="1" applyProtection="1">
      <alignment horizontal="center"/>
      <protection/>
    </xf>
    <xf numFmtId="49" fontId="65" fillId="0" borderId="0" xfId="0" applyNumberFormat="1" applyFont="1" applyBorder="1" applyAlignment="1" applyProtection="1">
      <alignment horizontal="center"/>
      <protection/>
    </xf>
    <xf numFmtId="0" fontId="65" fillId="0" borderId="36" xfId="0" applyNumberFormat="1" applyFont="1" applyBorder="1" applyAlignment="1" applyProtection="1">
      <alignment horizontal="center"/>
      <protection/>
    </xf>
    <xf numFmtId="0" fontId="65" fillId="0" borderId="0" xfId="0" applyNumberFormat="1" applyFont="1" applyBorder="1" applyAlignment="1" applyProtection="1">
      <alignment horizontal="left"/>
      <protection/>
    </xf>
    <xf numFmtId="49" fontId="65" fillId="0" borderId="0" xfId="0" applyNumberFormat="1" applyFont="1" applyBorder="1" applyAlignment="1" applyProtection="1">
      <alignment horizontal="left"/>
      <protection/>
    </xf>
    <xf numFmtId="49" fontId="65" fillId="0" borderId="36" xfId="0" applyNumberFormat="1" applyFont="1" applyBorder="1" applyAlignment="1" applyProtection="1">
      <alignment horizontal="center"/>
      <protection/>
    </xf>
    <xf numFmtId="0" fontId="38" fillId="0" borderId="0" xfId="0" applyFont="1" applyFill="1" applyAlignment="1">
      <alignment horizontal="center"/>
    </xf>
    <xf numFmtId="0" fontId="31" fillId="0" borderId="0" xfId="0" applyFont="1" applyFill="1" applyAlignment="1">
      <alignment horizontal="center"/>
    </xf>
    <xf numFmtId="2" fontId="31" fillId="0" borderId="0" xfId="0" applyNumberFormat="1" applyFont="1" applyFill="1" applyAlignment="1">
      <alignment horizontal="center"/>
    </xf>
    <xf numFmtId="0" fontId="48" fillId="0" borderId="6" xfId="0" applyFont="1" applyBorder="1" applyAlignment="1" applyProtection="1">
      <alignment horizontal="centerContinuous"/>
      <protection/>
    </xf>
    <xf numFmtId="0" fontId="48" fillId="0" borderId="10" xfId="0" applyFont="1" applyBorder="1" applyAlignment="1" applyProtection="1">
      <alignment horizontal="centerContinuous"/>
      <protection/>
    </xf>
    <xf numFmtId="0" fontId="65" fillId="2" borderId="47" xfId="0" applyFont="1" applyFill="1" applyBorder="1" applyAlignment="1" applyProtection="1">
      <alignment/>
      <protection/>
    </xf>
    <xf numFmtId="0" fontId="19" fillId="0" borderId="48" xfId="0" applyFont="1" applyBorder="1" applyAlignment="1" applyProtection="1">
      <alignment/>
      <protection/>
    </xf>
    <xf numFmtId="0" fontId="33" fillId="0" borderId="49" xfId="0" applyFont="1" applyBorder="1" applyAlignment="1" applyProtection="1">
      <alignment horizontal="center"/>
      <protection/>
    </xf>
    <xf numFmtId="0" fontId="19" fillId="0" borderId="50" xfId="0" applyFont="1" applyBorder="1" applyAlignment="1" applyProtection="1">
      <alignment/>
      <protection/>
    </xf>
    <xf numFmtId="0" fontId="19" fillId="0" borderId="51" xfId="0" applyFont="1" applyBorder="1" applyAlignment="1" applyProtection="1">
      <alignment/>
      <protection/>
    </xf>
    <xf numFmtId="0" fontId="46" fillId="0" borderId="35" xfId="0" applyFont="1" applyBorder="1" applyAlignment="1" applyProtection="1">
      <alignment horizontal="right"/>
      <protection/>
    </xf>
    <xf numFmtId="0" fontId="77" fillId="0" borderId="0" xfId="0" applyFont="1" applyBorder="1" applyAlignment="1" applyProtection="1">
      <alignment horizontal="left"/>
      <protection locked="0"/>
    </xf>
    <xf numFmtId="0" fontId="78" fillId="0" borderId="9" xfId="0" applyFont="1" applyBorder="1" applyAlignment="1" applyProtection="1">
      <alignment horizontal="right"/>
      <protection/>
    </xf>
    <xf numFmtId="1" fontId="78" fillId="0" borderId="9" xfId="0" applyNumberFormat="1" applyFont="1" applyBorder="1" applyAlignment="1" applyProtection="1">
      <alignment horizontal="centerContinuous"/>
      <protection/>
    </xf>
    <xf numFmtId="0" fontId="79" fillId="22" borderId="0" xfId="0" applyFont="1" applyFill="1" applyBorder="1" applyAlignment="1" applyProtection="1">
      <alignment horizontal="center"/>
      <protection/>
    </xf>
    <xf numFmtId="0" fontId="79" fillId="22" borderId="43" xfId="0" applyFont="1" applyFill="1" applyBorder="1" applyAlignment="1" applyProtection="1">
      <alignment horizontal="center"/>
      <protection/>
    </xf>
    <xf numFmtId="0" fontId="80" fillId="13" borderId="0" xfId="0" applyFont="1" applyFill="1" applyAlignment="1" applyProtection="1">
      <alignment horizontal="left"/>
      <protection/>
    </xf>
    <xf numFmtId="0" fontId="1" fillId="0" borderId="46" xfId="0" applyFont="1" applyBorder="1" applyAlignment="1" applyProtection="1">
      <alignment/>
      <protection/>
    </xf>
    <xf numFmtId="0" fontId="31" fillId="0" borderId="45" xfId="0" applyFont="1" applyBorder="1" applyAlignment="1" applyProtection="1">
      <alignment horizontal="right"/>
      <protection/>
    </xf>
    <xf numFmtId="0" fontId="31" fillId="0" borderId="40" xfId="0" applyFont="1" applyBorder="1" applyAlignment="1" applyProtection="1">
      <alignment horizontal="right"/>
      <protection/>
    </xf>
    <xf numFmtId="0" fontId="79" fillId="22" borderId="8" xfId="0" applyFont="1" applyFill="1" applyBorder="1" applyAlignment="1" applyProtection="1">
      <alignment horizontal="left"/>
      <protection/>
    </xf>
    <xf numFmtId="0" fontId="55" fillId="13" borderId="0" xfId="0" applyFont="1" applyFill="1" applyAlignment="1" applyProtection="1">
      <alignment horizontal="left"/>
      <protection/>
    </xf>
    <xf numFmtId="0" fontId="1" fillId="23" borderId="0" xfId="0" applyFont="1" applyFill="1" applyAlignment="1">
      <alignment/>
    </xf>
    <xf numFmtId="179" fontId="58" fillId="23" borderId="0" xfId="0" applyNumberFormat="1" applyFont="1" applyFill="1" applyAlignment="1">
      <alignment horizontal="center"/>
    </xf>
    <xf numFmtId="2" fontId="58" fillId="23" borderId="0" xfId="0" applyNumberFormat="1" applyFont="1" applyFill="1" applyAlignment="1">
      <alignment horizontal="center"/>
    </xf>
    <xf numFmtId="2" fontId="31" fillId="23" borderId="0" xfId="0" applyNumberFormat="1" applyFont="1" applyFill="1" applyAlignment="1">
      <alignment horizontal="center"/>
    </xf>
    <xf numFmtId="181" fontId="31" fillId="23" borderId="0" xfId="0" applyNumberFormat="1" applyFont="1" applyFill="1" applyAlignment="1">
      <alignment horizontal="center"/>
    </xf>
    <xf numFmtId="0" fontId="31" fillId="23" borderId="0" xfId="0" applyFont="1" applyFill="1" applyAlignment="1">
      <alignment horizontal="center"/>
    </xf>
    <xf numFmtId="183" fontId="31" fillId="23" borderId="0" xfId="0" applyNumberFormat="1" applyFont="1" applyFill="1" applyAlignment="1">
      <alignment horizontal="center"/>
    </xf>
    <xf numFmtId="1" fontId="31" fillId="23" borderId="0" xfId="0" applyNumberFormat="1" applyFont="1" applyFill="1" applyAlignment="1">
      <alignment horizontal="center"/>
    </xf>
    <xf numFmtId="10" fontId="31" fillId="23" borderId="0" xfId="0" applyNumberFormat="1" applyFont="1" applyFill="1" applyAlignment="1">
      <alignment horizontal="center"/>
    </xf>
    <xf numFmtId="0" fontId="33" fillId="0" borderId="17" xfId="0" applyFont="1" applyBorder="1" applyAlignment="1">
      <alignment horizontal="center"/>
    </xf>
    <xf numFmtId="0" fontId="81" fillId="0" borderId="0" xfId="0" applyFont="1" applyBorder="1" applyAlignment="1">
      <alignment/>
    </xf>
    <xf numFmtId="2" fontId="55" fillId="0" borderId="0" xfId="0" applyNumberFormat="1" applyFont="1" applyBorder="1" applyAlignment="1">
      <alignment horizontal="center"/>
    </xf>
    <xf numFmtId="0" fontId="37" fillId="2" borderId="35" xfId="0" applyFont="1" applyFill="1" applyBorder="1" applyAlignment="1">
      <alignment horizontal="center"/>
    </xf>
    <xf numFmtId="0" fontId="82" fillId="0" borderId="0" xfId="0" applyFont="1" applyAlignment="1">
      <alignment horizontal="center"/>
    </xf>
    <xf numFmtId="1" fontId="41" fillId="0" borderId="0" xfId="0" applyNumberFormat="1" applyFont="1" applyBorder="1" applyAlignment="1">
      <alignment horizontal="right"/>
    </xf>
    <xf numFmtId="0" fontId="31" fillId="0" borderId="8" xfId="0" applyFont="1" applyBorder="1" applyAlignment="1" applyProtection="1">
      <alignment horizontal="left"/>
      <protection/>
    </xf>
    <xf numFmtId="0" fontId="77" fillId="0" borderId="0" xfId="0" applyFont="1" applyBorder="1" applyAlignment="1" applyProtection="1">
      <alignment horizontal="center"/>
      <protection locked="0"/>
    </xf>
    <xf numFmtId="0" fontId="78" fillId="0" borderId="0" xfId="0" applyFont="1" applyBorder="1" applyAlignment="1" applyProtection="1">
      <alignment horizontal="right"/>
      <protection/>
    </xf>
    <xf numFmtId="0" fontId="78" fillId="0" borderId="8" xfId="0" applyFont="1" applyBorder="1" applyAlignment="1" applyProtection="1">
      <alignment horizontal="left"/>
      <protection/>
    </xf>
    <xf numFmtId="0" fontId="78" fillId="0" borderId="36" xfId="0" applyFont="1" applyBorder="1" applyAlignment="1" applyProtection="1">
      <alignment horizontal="left"/>
      <protection/>
    </xf>
    <xf numFmtId="0" fontId="71" fillId="0" borderId="0" xfId="0" applyFont="1" applyBorder="1" applyAlignment="1" applyProtection="1">
      <alignment horizontal="center"/>
      <protection locked="0"/>
    </xf>
    <xf numFmtId="0" fontId="78" fillId="0" borderId="0" xfId="0" applyFont="1" applyBorder="1" applyAlignment="1" applyProtection="1">
      <alignment horizontal="center"/>
      <protection/>
    </xf>
    <xf numFmtId="0" fontId="71" fillId="0" borderId="0" xfId="0" applyFont="1" applyBorder="1" applyAlignment="1" applyProtection="1">
      <alignment horizontal="center"/>
      <protection/>
    </xf>
    <xf numFmtId="0" fontId="0" fillId="0" borderId="0" xfId="0" applyAlignment="1">
      <alignment horizontal="center"/>
    </xf>
    <xf numFmtId="0" fontId="15" fillId="0" borderId="4" xfId="0" applyNumberFormat="1" applyFont="1" applyBorder="1" applyAlignment="1" applyProtection="1">
      <alignment horizontal="center"/>
      <protection locked="0"/>
    </xf>
    <xf numFmtId="0" fontId="0" fillId="0" borderId="5" xfId="0" applyBorder="1" applyAlignment="1" applyProtection="1">
      <alignment horizontal="center"/>
      <protection/>
    </xf>
    <xf numFmtId="0" fontId="9" fillId="0" borderId="9" xfId="0" applyFont="1" applyBorder="1" applyAlignment="1" applyProtection="1">
      <alignment horizontal="center"/>
      <protection/>
    </xf>
    <xf numFmtId="0" fontId="0" fillId="0" borderId="8" xfId="0" applyBorder="1" applyAlignment="1" applyProtection="1">
      <alignment horizontal="center"/>
      <protection/>
    </xf>
    <xf numFmtId="0" fontId="1" fillId="0" borderId="9" xfId="0" applyFont="1" applyBorder="1" applyAlignment="1" applyProtection="1">
      <alignment horizontal="center"/>
      <protection/>
    </xf>
    <xf numFmtId="0" fontId="1" fillId="0" borderId="12" xfId="0" applyFont="1" applyBorder="1" applyAlignment="1" applyProtection="1">
      <alignment horizontal="center"/>
      <protection/>
    </xf>
    <xf numFmtId="0" fontId="0" fillId="0" borderId="11" xfId="0" applyBorder="1" applyAlignment="1" applyProtection="1">
      <alignment horizontal="center"/>
      <protection/>
    </xf>
    <xf numFmtId="0" fontId="0" fillId="0" borderId="4" xfId="0" applyBorder="1" applyAlignment="1" applyProtection="1">
      <alignment/>
      <protection/>
    </xf>
    <xf numFmtId="0" fontId="0" fillId="0" borderId="9" xfId="0" applyBorder="1" applyAlignment="1" applyProtection="1">
      <alignment/>
      <protection/>
    </xf>
    <xf numFmtId="0" fontId="15" fillId="0" borderId="9" xfId="0" applyNumberFormat="1" applyFont="1" applyBorder="1" applyAlignment="1" applyProtection="1">
      <alignment horizontal="left"/>
      <protection locked="0"/>
    </xf>
    <xf numFmtId="0" fontId="0" fillId="0" borderId="12" xfId="0" applyBorder="1" applyAlignment="1" applyProtection="1">
      <alignment/>
      <protection/>
    </xf>
    <xf numFmtId="0" fontId="31" fillId="0" borderId="0" xfId="0" applyFont="1" applyAlignment="1" applyProtection="1">
      <alignment horizontal="center"/>
      <protection/>
    </xf>
    <xf numFmtId="0" fontId="67" fillId="0" borderId="0" xfId="0" applyFont="1" applyFill="1" applyAlignment="1" applyProtection="1">
      <alignment horizontal="left"/>
      <protection/>
    </xf>
    <xf numFmtId="0" fontId="84" fillId="13" borderId="0" xfId="0" applyFont="1" applyFill="1" applyAlignment="1" applyProtection="1">
      <alignment/>
      <protection/>
    </xf>
    <xf numFmtId="0" fontId="0" fillId="0" borderId="0" xfId="0" applyAlignment="1" applyProtection="1">
      <alignment horizontal="center"/>
      <protection/>
    </xf>
    <xf numFmtId="1" fontId="32" fillId="0" borderId="20" xfId="0" applyNumberFormat="1" applyFont="1" applyBorder="1" applyAlignment="1" applyProtection="1">
      <alignment horizontal="left" vertical="center"/>
      <protection locked="0"/>
    </xf>
    <xf numFmtId="1" fontId="85" fillId="0" borderId="52" xfId="0" applyNumberFormat="1" applyFont="1" applyBorder="1" applyAlignment="1" applyProtection="1">
      <alignment horizontal="centerContinuous" vertical="center" wrapText="1"/>
      <protection locked="0"/>
    </xf>
    <xf numFmtId="1" fontId="35" fillId="0" borderId="0" xfId="0" applyNumberFormat="1" applyFont="1" applyAlignment="1" applyProtection="1">
      <alignment/>
      <protection/>
    </xf>
    <xf numFmtId="186" fontId="31" fillId="0" borderId="9" xfId="0" applyNumberFormat="1" applyFont="1" applyBorder="1" applyAlignment="1" applyProtection="1">
      <alignment horizontal="center"/>
      <protection/>
    </xf>
    <xf numFmtId="186" fontId="42" fillId="0" borderId="13" xfId="0" applyNumberFormat="1" applyFont="1" applyBorder="1" applyAlignment="1" applyProtection="1">
      <alignment horizontal="center"/>
      <protection locked="0"/>
    </xf>
    <xf numFmtId="186" fontId="42" fillId="0" borderId="0" xfId="0" applyNumberFormat="1" applyFont="1" applyBorder="1" applyAlignment="1" applyProtection="1">
      <alignment horizontal="center"/>
      <protection locked="0"/>
    </xf>
    <xf numFmtId="186" fontId="42" fillId="0" borderId="14" xfId="0" applyNumberFormat="1" applyFont="1" applyBorder="1" applyAlignment="1" applyProtection="1">
      <alignment horizontal="center"/>
      <protection locked="0"/>
    </xf>
    <xf numFmtId="187" fontId="42" fillId="0" borderId="4" xfId="0" applyNumberFormat="1" applyFont="1" applyBorder="1" applyAlignment="1" applyProtection="1">
      <alignment horizontal="center"/>
      <protection locked="0"/>
    </xf>
    <xf numFmtId="187" fontId="42" fillId="0" borderId="9" xfId="0" applyNumberFormat="1" applyFont="1" applyBorder="1" applyAlignment="1" applyProtection="1">
      <alignment horizontal="center"/>
      <protection locked="0"/>
    </xf>
    <xf numFmtId="187" fontId="31" fillId="0" borderId="8" xfId="0" applyNumberFormat="1" applyFont="1" applyBorder="1" applyAlignment="1" applyProtection="1">
      <alignment horizontal="center"/>
      <protection/>
    </xf>
    <xf numFmtId="187" fontId="42" fillId="0" borderId="8" xfId="0" applyNumberFormat="1" applyFont="1" applyBorder="1" applyAlignment="1" applyProtection="1">
      <alignment horizontal="center"/>
      <protection locked="0"/>
    </xf>
    <xf numFmtId="187" fontId="38" fillId="0" borderId="8" xfId="0" applyNumberFormat="1" applyFont="1" applyBorder="1" applyAlignment="1" applyProtection="1">
      <alignment horizontal="center"/>
      <protection/>
    </xf>
    <xf numFmtId="187" fontId="31" fillId="0" borderId="8" xfId="0" applyNumberFormat="1" applyFont="1" applyBorder="1" applyAlignment="1" applyProtection="1">
      <alignment horizontal="center"/>
      <protection locked="0"/>
    </xf>
    <xf numFmtId="187" fontId="42" fillId="0" borderId="11" xfId="0" applyNumberFormat="1" applyFont="1" applyBorder="1" applyAlignment="1" applyProtection="1">
      <alignment horizontal="center"/>
      <protection locked="0"/>
    </xf>
    <xf numFmtId="187" fontId="31" fillId="0" borderId="37" xfId="0" applyNumberFormat="1" applyFont="1" applyBorder="1" applyAlignment="1" applyProtection="1">
      <alignment horizontal="center"/>
      <protection locked="0"/>
    </xf>
    <xf numFmtId="187" fontId="42" fillId="0" borderId="36" xfId="0" applyNumberFormat="1" applyFont="1" applyBorder="1" applyAlignment="1" applyProtection="1">
      <alignment horizontal="center"/>
      <protection locked="0"/>
    </xf>
    <xf numFmtId="187" fontId="38" fillId="0" borderId="36" xfId="0" applyNumberFormat="1" applyFont="1" applyBorder="1" applyAlignment="1" applyProtection="1">
      <alignment horizontal="center"/>
      <protection/>
    </xf>
    <xf numFmtId="187" fontId="31" fillId="0" borderId="36" xfId="0" applyNumberFormat="1" applyFont="1" applyBorder="1" applyAlignment="1" applyProtection="1">
      <alignment horizontal="center"/>
      <protection locked="0"/>
    </xf>
    <xf numFmtId="187" fontId="42" fillId="0" borderId="38" xfId="0" applyNumberFormat="1" applyFont="1" applyBorder="1" applyAlignment="1" applyProtection="1">
      <alignment horizontal="center"/>
      <protection locked="0"/>
    </xf>
    <xf numFmtId="188" fontId="42" fillId="0" borderId="9" xfId="0" applyNumberFormat="1" applyFont="1" applyBorder="1" applyAlignment="1" applyProtection="1">
      <alignment horizontal="center"/>
      <protection locked="0"/>
    </xf>
    <xf numFmtId="188" fontId="42" fillId="0" borderId="12" xfId="0" applyNumberFormat="1" applyFont="1" applyBorder="1" applyAlignment="1" applyProtection="1">
      <alignment horizontal="center"/>
      <protection locked="0"/>
    </xf>
    <xf numFmtId="1" fontId="31" fillId="0" borderId="12" xfId="0" applyNumberFormat="1" applyFont="1" applyBorder="1" applyAlignment="1" applyProtection="1">
      <alignment horizontal="center"/>
      <protection/>
    </xf>
    <xf numFmtId="1" fontId="44" fillId="0" borderId="20" xfId="0" applyNumberFormat="1" applyFont="1" applyBorder="1" applyAlignment="1" applyProtection="1">
      <alignment horizontal="left" vertical="center"/>
      <protection/>
    </xf>
    <xf numFmtId="1" fontId="45" fillId="0" borderId="0" xfId="0" applyNumberFormat="1" applyFont="1" applyAlignment="1" applyProtection="1">
      <alignment/>
      <protection/>
    </xf>
    <xf numFmtId="15" fontId="46" fillId="0" borderId="9" xfId="0" applyNumberFormat="1" applyFont="1" applyBorder="1" applyAlignment="1" applyProtection="1">
      <alignment horizontal="centerContinuous"/>
      <protection/>
    </xf>
    <xf numFmtId="1" fontId="46" fillId="0" borderId="2" xfId="0" applyNumberFormat="1" applyFont="1" applyBorder="1" applyAlignment="1" applyProtection="1">
      <alignment horizontal="centerContinuous"/>
      <protection/>
    </xf>
    <xf numFmtId="1" fontId="46" fillId="0" borderId="3" xfId="0" applyNumberFormat="1" applyFont="1" applyBorder="1" applyAlignment="1" applyProtection="1">
      <alignment horizontal="centerContinuous"/>
      <protection/>
    </xf>
    <xf numFmtId="0" fontId="86" fillId="0" borderId="26" xfId="0" applyFont="1" applyBorder="1" applyAlignment="1" applyProtection="1">
      <alignment horizontal="centerContinuous"/>
      <protection/>
    </xf>
    <xf numFmtId="1" fontId="46" fillId="0" borderId="33" xfId="0" applyNumberFormat="1" applyFont="1" applyBorder="1" applyAlignment="1" applyProtection="1">
      <alignment horizontal="centerContinuous"/>
      <protection/>
    </xf>
    <xf numFmtId="1" fontId="46" fillId="0" borderId="34" xfId="0" applyNumberFormat="1" applyFont="1" applyBorder="1" applyAlignment="1" applyProtection="1">
      <alignment horizontal="centerContinuous"/>
      <protection/>
    </xf>
    <xf numFmtId="1" fontId="85" fillId="0" borderId="52" xfId="0" applyNumberFormat="1" applyFont="1" applyBorder="1" applyAlignment="1" applyProtection="1">
      <alignment horizontal="centerContinuous" vertical="center" wrapText="1"/>
      <protection/>
    </xf>
    <xf numFmtId="187" fontId="31" fillId="0" borderId="0" xfId="0" applyNumberFormat="1" applyFont="1" applyBorder="1" applyAlignment="1" applyProtection="1">
      <alignment horizontal="center"/>
      <protection/>
    </xf>
    <xf numFmtId="189" fontId="31" fillId="0" borderId="36" xfId="0" applyNumberFormat="1" applyFont="1" applyBorder="1" applyAlignment="1" applyProtection="1">
      <alignment horizontal="center"/>
      <protection/>
    </xf>
    <xf numFmtId="190" fontId="31" fillId="0" borderId="0" xfId="0" applyNumberFormat="1" applyFont="1" applyBorder="1" applyAlignment="1" applyProtection="1">
      <alignment horizontal="right"/>
      <protection/>
    </xf>
    <xf numFmtId="190" fontId="31" fillId="0" borderId="0" xfId="0" applyNumberFormat="1" applyFont="1" applyBorder="1" applyAlignment="1" applyProtection="1">
      <alignment horizontal="center"/>
      <protection/>
    </xf>
    <xf numFmtId="1" fontId="35" fillId="24" borderId="53" xfId="0" applyNumberFormat="1" applyFont="1" applyFill="1" applyBorder="1" applyAlignment="1">
      <alignment/>
    </xf>
    <xf numFmtId="1" fontId="45" fillId="2" borderId="54" xfId="0" applyNumberFormat="1" applyFont="1" applyFill="1" applyBorder="1" applyAlignment="1">
      <alignment/>
    </xf>
    <xf numFmtId="0" fontId="0" fillId="0" borderId="54" xfId="0" applyBorder="1" applyAlignment="1">
      <alignment/>
    </xf>
    <xf numFmtId="0" fontId="35" fillId="24" borderId="54" xfId="0" applyFont="1" applyFill="1" applyBorder="1" applyAlignment="1">
      <alignment/>
    </xf>
    <xf numFmtId="1" fontId="35" fillId="24" borderId="55" xfId="0" applyNumberFormat="1" applyFont="1" applyFill="1" applyBorder="1" applyAlignment="1">
      <alignment/>
    </xf>
    <xf numFmtId="1" fontId="45" fillId="2" borderId="0" xfId="0" applyNumberFormat="1" applyFont="1" applyFill="1" applyBorder="1" applyAlignment="1">
      <alignment/>
    </xf>
    <xf numFmtId="0" fontId="35" fillId="24" borderId="0" xfId="0" applyFont="1" applyFill="1" applyBorder="1" applyAlignment="1">
      <alignment/>
    </xf>
    <xf numFmtId="0" fontId="35" fillId="24" borderId="55" xfId="0" applyFont="1" applyFill="1" applyBorder="1" applyAlignment="1">
      <alignment/>
    </xf>
    <xf numFmtId="1" fontId="35" fillId="2" borderId="0" xfId="0" applyNumberFormat="1" applyFont="1" applyFill="1" applyBorder="1" applyAlignment="1">
      <alignment/>
    </xf>
    <xf numFmtId="1" fontId="35" fillId="24" borderId="0" xfId="0" applyNumberFormat="1" applyFont="1" applyFill="1" applyBorder="1" applyAlignment="1">
      <alignment horizontal="right"/>
    </xf>
    <xf numFmtId="0" fontId="35" fillId="24" borderId="56" xfId="0" applyFont="1" applyFill="1" applyBorder="1" applyAlignment="1">
      <alignment/>
    </xf>
    <xf numFmtId="1" fontId="36" fillId="2" borderId="57" xfId="0" applyNumberFormat="1" applyFont="1" applyFill="1" applyBorder="1" applyAlignment="1">
      <alignment/>
    </xf>
    <xf numFmtId="0" fontId="0" fillId="0" borderId="57" xfId="0" applyBorder="1" applyAlignment="1">
      <alignment/>
    </xf>
    <xf numFmtId="0" fontId="35" fillId="24" borderId="57" xfId="0" applyFont="1" applyFill="1" applyBorder="1" applyAlignment="1">
      <alignment/>
    </xf>
    <xf numFmtId="1" fontId="35" fillId="24" borderId="57" xfId="0" applyNumberFormat="1" applyFont="1" applyFill="1" applyBorder="1" applyAlignment="1">
      <alignment horizontal="right"/>
    </xf>
    <xf numFmtId="1" fontId="36" fillId="2" borderId="0" xfId="0" applyNumberFormat="1" applyFont="1" applyFill="1" applyBorder="1" applyAlignment="1">
      <alignment/>
    </xf>
    <xf numFmtId="15" fontId="35" fillId="24" borderId="0" xfId="0" applyNumberFormat="1" applyFont="1" applyFill="1" applyBorder="1" applyAlignment="1">
      <alignment horizontal="center"/>
    </xf>
    <xf numFmtId="0" fontId="0" fillId="0" borderId="13" xfId="0" applyBorder="1" applyAlignment="1">
      <alignment/>
    </xf>
    <xf numFmtId="0" fontId="0" fillId="0" borderId="5" xfId="0" applyBorder="1" applyAlignment="1">
      <alignment/>
    </xf>
    <xf numFmtId="0" fontId="32" fillId="0" borderId="0" xfId="0" applyFont="1" applyBorder="1" applyAlignment="1">
      <alignment/>
    </xf>
    <xf numFmtId="0" fontId="46" fillId="0" borderId="0" xfId="0" applyFont="1" applyBorder="1" applyAlignment="1">
      <alignment/>
    </xf>
    <xf numFmtId="15" fontId="35" fillId="24" borderId="8" xfId="0" applyNumberFormat="1" applyFont="1" applyFill="1" applyBorder="1" applyAlignment="1">
      <alignment horizontal="center"/>
    </xf>
    <xf numFmtId="0" fontId="37" fillId="24" borderId="0" xfId="0" applyFont="1" applyFill="1" applyAlignment="1">
      <alignment horizontal="left"/>
    </xf>
    <xf numFmtId="0" fontId="0" fillId="24" borderId="0" xfId="0" applyFill="1" applyAlignment="1">
      <alignment/>
    </xf>
    <xf numFmtId="0" fontId="55" fillId="24" borderId="0" xfId="0" applyFont="1" applyFill="1" applyAlignment="1">
      <alignment/>
    </xf>
    <xf numFmtId="0" fontId="53" fillId="24" borderId="0" xfId="0" applyFont="1" applyFill="1" applyAlignment="1">
      <alignment horizontal="right"/>
    </xf>
    <xf numFmtId="0" fontId="46" fillId="24" borderId="17" xfId="0" applyFont="1" applyFill="1" applyBorder="1" applyAlignment="1">
      <alignment horizontal="center"/>
    </xf>
    <xf numFmtId="0" fontId="31" fillId="24" borderId="0" xfId="0" applyFont="1" applyFill="1" applyAlignment="1">
      <alignment horizontal="right"/>
    </xf>
    <xf numFmtId="0" fontId="31" fillId="24" borderId="15" xfId="0" applyFont="1" applyFill="1" applyBorder="1" applyAlignment="1">
      <alignment horizontal="center"/>
    </xf>
    <xf numFmtId="0" fontId="31" fillId="24" borderId="1" xfId="0" applyFont="1" applyFill="1" applyBorder="1" applyAlignment="1">
      <alignment horizontal="center"/>
    </xf>
    <xf numFmtId="0" fontId="31" fillId="24" borderId="16" xfId="0" applyFont="1" applyFill="1" applyBorder="1" applyAlignment="1">
      <alignment horizontal="center"/>
    </xf>
    <xf numFmtId="0" fontId="1" fillId="24" borderId="0" xfId="0" applyFont="1" applyFill="1" applyAlignment="1">
      <alignment/>
    </xf>
    <xf numFmtId="0" fontId="1" fillId="24" borderId="0" xfId="0" applyFont="1" applyFill="1" applyAlignment="1">
      <alignment horizontal="center"/>
    </xf>
    <xf numFmtId="0" fontId="46" fillId="24" borderId="4" xfId="0" applyFont="1" applyFill="1" applyBorder="1" applyAlignment="1">
      <alignment horizontal="center"/>
    </xf>
    <xf numFmtId="0" fontId="46" fillId="24" borderId="13" xfId="0" applyFont="1" applyFill="1" applyBorder="1" applyAlignment="1">
      <alignment horizontal="center"/>
    </xf>
    <xf numFmtId="0" fontId="46" fillId="24" borderId="5" xfId="0" applyFont="1" applyFill="1" applyBorder="1" applyAlignment="1">
      <alignment horizontal="center"/>
    </xf>
    <xf numFmtId="0" fontId="46" fillId="24" borderId="12" xfId="0" applyFont="1" applyFill="1" applyBorder="1" applyAlignment="1">
      <alignment horizontal="center"/>
    </xf>
    <xf numFmtId="0" fontId="46" fillId="24" borderId="14" xfId="0" applyFont="1" applyFill="1" applyBorder="1" applyAlignment="1">
      <alignment horizontal="center"/>
    </xf>
    <xf numFmtId="0" fontId="46" fillId="24" borderId="11" xfId="0" applyFont="1" applyFill="1" applyBorder="1" applyAlignment="1">
      <alignment horizontal="center"/>
    </xf>
    <xf numFmtId="0" fontId="31" fillId="24" borderId="4" xfId="0" applyFont="1" applyFill="1" applyBorder="1" applyAlignment="1">
      <alignment horizontal="center"/>
    </xf>
    <xf numFmtId="0" fontId="31" fillId="24" borderId="13" xfId="0" applyFont="1" applyFill="1" applyBorder="1" applyAlignment="1">
      <alignment horizontal="center"/>
    </xf>
    <xf numFmtId="0" fontId="31" fillId="24" borderId="5" xfId="0" applyFont="1" applyFill="1" applyBorder="1" applyAlignment="1">
      <alignment horizontal="center"/>
    </xf>
    <xf numFmtId="0" fontId="31" fillId="24" borderId="9" xfId="0" applyFont="1" applyFill="1" applyBorder="1" applyAlignment="1">
      <alignment horizontal="center"/>
    </xf>
    <xf numFmtId="0" fontId="31" fillId="24" borderId="0" xfId="0" applyFont="1" applyFill="1" applyAlignment="1">
      <alignment horizontal="center"/>
    </xf>
    <xf numFmtId="0" fontId="31" fillId="24" borderId="8" xfId="0" applyFont="1" applyFill="1" applyBorder="1" applyAlignment="1">
      <alignment horizontal="center"/>
    </xf>
    <xf numFmtId="0" fontId="31" fillId="24" borderId="12" xfId="0" applyFont="1" applyFill="1" applyBorder="1" applyAlignment="1">
      <alignment horizontal="center"/>
    </xf>
    <xf numFmtId="0" fontId="31" fillId="24" borderId="14" xfId="0" applyFont="1" applyFill="1" applyBorder="1" applyAlignment="1">
      <alignment horizontal="center"/>
    </xf>
    <xf numFmtId="0" fontId="31" fillId="24" borderId="11" xfId="0" applyFont="1" applyFill="1" applyBorder="1" applyAlignment="1">
      <alignment horizontal="center"/>
    </xf>
    <xf numFmtId="0" fontId="27" fillId="24" borderId="6" xfId="0" applyFont="1" applyFill="1" applyBorder="1" applyAlignment="1">
      <alignment horizontal="center"/>
    </xf>
    <xf numFmtId="0" fontId="46" fillId="24" borderId="7" xfId="0" applyFont="1" applyFill="1" applyBorder="1" applyAlignment="1">
      <alignment horizontal="center"/>
    </xf>
    <xf numFmtId="0" fontId="27" fillId="24" borderId="10" xfId="0" applyFont="1" applyFill="1" applyBorder="1" applyAlignment="1">
      <alignment horizontal="center"/>
    </xf>
    <xf numFmtId="0" fontId="20" fillId="24" borderId="0" xfId="0" applyFont="1" applyFill="1" applyAlignment="1">
      <alignment/>
    </xf>
    <xf numFmtId="0" fontId="53" fillId="24" borderId="6" xfId="0" applyFont="1" applyFill="1" applyBorder="1" applyAlignment="1">
      <alignment horizontal="center"/>
    </xf>
    <xf numFmtId="0" fontId="53" fillId="24" borderId="7" xfId="0" applyFont="1" applyFill="1" applyBorder="1" applyAlignment="1">
      <alignment horizontal="center"/>
    </xf>
    <xf numFmtId="0" fontId="53" fillId="24" borderId="10" xfId="0" applyFont="1" applyFill="1" applyBorder="1" applyAlignment="1">
      <alignment horizontal="center"/>
    </xf>
    <xf numFmtId="0" fontId="22" fillId="24" borderId="0" xfId="0" applyFont="1" applyFill="1" applyAlignment="1">
      <alignment horizontal="center"/>
    </xf>
    <xf numFmtId="0" fontId="0" fillId="24" borderId="0" xfId="0" applyFill="1" applyBorder="1" applyAlignment="1">
      <alignment/>
    </xf>
    <xf numFmtId="0" fontId="53" fillId="24" borderId="17" xfId="0" applyFont="1" applyFill="1" applyBorder="1" applyAlignment="1">
      <alignment horizontal="center"/>
    </xf>
    <xf numFmtId="0" fontId="44" fillId="24" borderId="0" xfId="0" applyFont="1" applyFill="1" applyAlignment="1">
      <alignment horizontal="left"/>
    </xf>
    <xf numFmtId="0" fontId="40" fillId="24" borderId="0" xfId="0" applyFont="1" applyFill="1" applyAlignment="1">
      <alignment horizontal="left"/>
    </xf>
    <xf numFmtId="0" fontId="31" fillId="24" borderId="0" xfId="0" applyFont="1" applyFill="1" applyAlignment="1">
      <alignment/>
    </xf>
    <xf numFmtId="0" fontId="53" fillId="24" borderId="0" xfId="0" applyFont="1" applyFill="1" applyAlignment="1">
      <alignment horizontal="centerContinuous"/>
    </xf>
    <xf numFmtId="0" fontId="55" fillId="24" borderId="0" xfId="0" applyFont="1" applyFill="1" applyAlignment="1">
      <alignment horizontal="centerContinuous"/>
    </xf>
    <xf numFmtId="0" fontId="1" fillId="24" borderId="0" xfId="0" applyFont="1" applyFill="1" applyAlignment="1">
      <alignment horizontal="centerContinuous"/>
    </xf>
    <xf numFmtId="0" fontId="1" fillId="24" borderId="5" xfId="0" applyFont="1" applyFill="1" applyBorder="1" applyAlignment="1">
      <alignment horizontal="center"/>
    </xf>
    <xf numFmtId="0" fontId="59" fillId="24" borderId="9" xfId="0" applyFont="1" applyFill="1" applyBorder="1" applyAlignment="1">
      <alignment horizontal="center"/>
    </xf>
    <xf numFmtId="0" fontId="1" fillId="24" borderId="8" xfId="0" applyFont="1" applyFill="1" applyBorder="1" applyAlignment="1">
      <alignment horizontal="center"/>
    </xf>
    <xf numFmtId="0" fontId="46" fillId="24" borderId="8" xfId="0" applyFont="1" applyFill="1" applyBorder="1" applyAlignment="1">
      <alignment horizontal="center"/>
    </xf>
    <xf numFmtId="0" fontId="55" fillId="24" borderId="8" xfId="0" applyFont="1" applyFill="1" applyBorder="1" applyAlignment="1">
      <alignment horizontal="center"/>
    </xf>
    <xf numFmtId="0" fontId="59" fillId="24" borderId="12" xfId="0" applyFont="1" applyFill="1" applyBorder="1" applyAlignment="1">
      <alignment horizontal="center"/>
    </xf>
    <xf numFmtId="0" fontId="55" fillId="24" borderId="11" xfId="0" applyFont="1" applyFill="1" applyBorder="1" applyAlignment="1">
      <alignment horizontal="center"/>
    </xf>
    <xf numFmtId="0" fontId="46" fillId="24" borderId="6" xfId="0" applyFont="1" applyFill="1" applyBorder="1" applyAlignment="1">
      <alignment horizontal="center"/>
    </xf>
    <xf numFmtId="0" fontId="46" fillId="24" borderId="10" xfId="0" applyFont="1" applyFill="1" applyBorder="1" applyAlignment="1">
      <alignment horizontal="center"/>
    </xf>
    <xf numFmtId="0" fontId="31" fillId="24" borderId="6" xfId="0" applyNumberFormat="1" applyFont="1" applyFill="1" applyBorder="1" applyAlignment="1">
      <alignment horizontal="center"/>
    </xf>
    <xf numFmtId="0" fontId="31" fillId="24" borderId="7" xfId="0" applyNumberFormat="1" applyFont="1" applyFill="1" applyBorder="1" applyAlignment="1">
      <alignment horizontal="center"/>
    </xf>
    <xf numFmtId="0" fontId="31" fillId="24" borderId="10" xfId="0" applyNumberFormat="1" applyFont="1" applyFill="1" applyBorder="1" applyAlignment="1">
      <alignment horizontal="center"/>
    </xf>
    <xf numFmtId="0" fontId="0" fillId="0" borderId="58" xfId="0" applyBorder="1" applyAlignment="1">
      <alignment/>
    </xf>
    <xf numFmtId="0" fontId="0" fillId="0" borderId="59" xfId="0" applyBorder="1" applyAlignment="1">
      <alignment/>
    </xf>
    <xf numFmtId="0" fontId="31" fillId="24" borderId="0" xfId="0" applyFont="1" applyFill="1" applyBorder="1" applyAlignment="1">
      <alignment horizontal="center"/>
    </xf>
    <xf numFmtId="0" fontId="0" fillId="24" borderId="54" xfId="0" applyFill="1" applyBorder="1" applyAlignment="1">
      <alignment/>
    </xf>
    <xf numFmtId="0" fontId="0" fillId="24" borderId="58" xfId="0" applyFill="1" applyBorder="1" applyAlignment="1">
      <alignment/>
    </xf>
    <xf numFmtId="0" fontId="0" fillId="24" borderId="59" xfId="0" applyFill="1" applyBorder="1" applyAlignment="1">
      <alignment/>
    </xf>
    <xf numFmtId="0" fontId="0" fillId="24" borderId="57" xfId="0" applyFill="1" applyBorder="1" applyAlignment="1">
      <alignment/>
    </xf>
    <xf numFmtId="0" fontId="0" fillId="0" borderId="4" xfId="0" applyBorder="1" applyAlignment="1">
      <alignment horizontal="center"/>
    </xf>
    <xf numFmtId="0" fontId="82" fillId="0" borderId="9" xfId="0" applyFont="1" applyBorder="1" applyAlignment="1">
      <alignment horizontal="center"/>
    </xf>
    <xf numFmtId="0" fontId="82" fillId="0" borderId="0" xfId="0" applyFont="1" applyBorder="1" applyAlignment="1">
      <alignment horizontal="center"/>
    </xf>
    <xf numFmtId="0" fontId="82" fillId="0" borderId="8" xfId="0" applyFont="1" applyBorder="1" applyAlignment="1">
      <alignment horizontal="center"/>
    </xf>
    <xf numFmtId="0" fontId="82" fillId="0" borderId="12" xfId="0" applyFont="1" applyBorder="1" applyAlignment="1">
      <alignment horizontal="center"/>
    </xf>
    <xf numFmtId="0" fontId="82" fillId="0" borderId="14" xfId="0" applyFont="1" applyBorder="1" applyAlignment="1">
      <alignment horizontal="center"/>
    </xf>
    <xf numFmtId="0" fontId="82" fillId="0" borderId="11" xfId="0" applyFont="1" applyBorder="1" applyAlignment="1">
      <alignment horizontal="center"/>
    </xf>
    <xf numFmtId="0" fontId="82" fillId="0" borderId="6" xfId="0" applyFont="1" applyBorder="1" applyAlignment="1">
      <alignment horizontal="center"/>
    </xf>
    <xf numFmtId="0" fontId="82" fillId="0" borderId="7" xfId="0" applyFont="1" applyBorder="1" applyAlignment="1">
      <alignment horizontal="center"/>
    </xf>
    <xf numFmtId="0" fontId="82" fillId="0" borderId="10" xfId="0" applyFont="1" applyBorder="1" applyAlignment="1">
      <alignment horizontal="center"/>
    </xf>
    <xf numFmtId="0" fontId="0" fillId="0" borderId="1" xfId="0" applyBorder="1" applyAlignment="1">
      <alignment/>
    </xf>
    <xf numFmtId="0" fontId="31" fillId="0" borderId="9" xfId="0" applyFont="1" applyBorder="1" applyAlignment="1">
      <alignment horizontal="right"/>
    </xf>
    <xf numFmtId="0" fontId="31" fillId="0" borderId="1" xfId="0" applyFont="1" applyBorder="1" applyAlignment="1">
      <alignment horizontal="right"/>
    </xf>
    <xf numFmtId="0" fontId="38" fillId="0" borderId="0" xfId="0" applyFont="1" applyBorder="1" applyAlignment="1">
      <alignment horizontal="right"/>
    </xf>
    <xf numFmtId="179" fontId="31" fillId="0" borderId="0" xfId="0" applyNumberFormat="1" applyFont="1" applyBorder="1" applyAlignment="1">
      <alignment horizontal="left"/>
    </xf>
    <xf numFmtId="0" fontId="31" fillId="0" borderId="60" xfId="0" applyFont="1" applyBorder="1" applyAlignment="1">
      <alignment horizontal="right"/>
    </xf>
    <xf numFmtId="0" fontId="35" fillId="0" borderId="54" xfId="0" applyFont="1" applyBorder="1" applyAlignment="1">
      <alignment horizontal="center"/>
    </xf>
    <xf numFmtId="0" fontId="41" fillId="0" borderId="54" xfId="0" applyFont="1" applyBorder="1" applyAlignment="1">
      <alignment horizontal="right"/>
    </xf>
    <xf numFmtId="181" fontId="31" fillId="0" borderId="54" xfId="0" applyNumberFormat="1" applyFont="1" applyBorder="1" applyAlignment="1">
      <alignment horizontal="center"/>
    </xf>
    <xf numFmtId="0" fontId="31" fillId="0" borderId="61" xfId="0" applyFont="1" applyBorder="1" applyAlignment="1">
      <alignment horizontal="right"/>
    </xf>
    <xf numFmtId="0" fontId="35" fillId="0" borderId="57" xfId="0" applyFont="1" applyBorder="1" applyAlignment="1">
      <alignment horizontal="center"/>
    </xf>
    <xf numFmtId="0" fontId="41" fillId="0" borderId="57" xfId="0" applyFont="1" applyBorder="1" applyAlignment="1">
      <alignment horizontal="right"/>
    </xf>
    <xf numFmtId="181" fontId="31" fillId="0" borderId="62" xfId="0" applyNumberFormat="1" applyFont="1" applyBorder="1" applyAlignment="1">
      <alignment horizontal="center"/>
    </xf>
    <xf numFmtId="0" fontId="31" fillId="24" borderId="0" xfId="0" applyFont="1" applyFill="1" applyBorder="1" applyAlignment="1">
      <alignment horizontal="right"/>
    </xf>
    <xf numFmtId="0" fontId="35" fillId="24" borderId="0" xfId="0" applyFont="1" applyFill="1" applyBorder="1" applyAlignment="1">
      <alignment horizontal="center"/>
    </xf>
    <xf numFmtId="0" fontId="41" fillId="24" borderId="0" xfId="0" applyFont="1" applyFill="1" applyBorder="1" applyAlignment="1">
      <alignment horizontal="right"/>
    </xf>
    <xf numFmtId="181" fontId="31" fillId="24" borderId="0" xfId="0" applyNumberFormat="1" applyFont="1" applyFill="1" applyBorder="1" applyAlignment="1">
      <alignment horizontal="center"/>
    </xf>
    <xf numFmtId="0" fontId="38" fillId="24" borderId="0" xfId="0" applyFont="1" applyFill="1" applyBorder="1" applyAlignment="1">
      <alignment horizontal="right"/>
    </xf>
    <xf numFmtId="179" fontId="31" fillId="24" borderId="0" xfId="0" applyNumberFormat="1" applyFont="1" applyFill="1" applyBorder="1" applyAlignment="1">
      <alignment horizontal="left"/>
    </xf>
    <xf numFmtId="0" fontId="31" fillId="24" borderId="0" xfId="0" applyFont="1" applyFill="1" applyBorder="1" applyAlignment="1">
      <alignment horizontal="left"/>
    </xf>
    <xf numFmtId="2" fontId="31" fillId="0" borderId="57" xfId="0" applyNumberFormat="1" applyFont="1" applyBorder="1" applyAlignment="1">
      <alignment horizontal="center"/>
    </xf>
    <xf numFmtId="1" fontId="31" fillId="0" borderId="62" xfId="0" applyNumberFormat="1" applyFont="1" applyBorder="1" applyAlignment="1">
      <alignment horizontal="center"/>
    </xf>
    <xf numFmtId="0" fontId="31" fillId="24" borderId="35" xfId="0" applyFont="1" applyFill="1" applyBorder="1" applyAlignment="1">
      <alignment horizontal="right"/>
    </xf>
    <xf numFmtId="181" fontId="31" fillId="24" borderId="1" xfId="0" applyNumberFormat="1" applyFont="1" applyFill="1" applyBorder="1" applyAlignment="1">
      <alignment horizontal="center"/>
    </xf>
    <xf numFmtId="0" fontId="1" fillId="25" borderId="0" xfId="0" applyFont="1" applyFill="1" applyBorder="1" applyAlignment="1">
      <alignment/>
    </xf>
    <xf numFmtId="0" fontId="2" fillId="25" borderId="0" xfId="0" applyFont="1" applyFill="1" applyBorder="1" applyAlignment="1">
      <alignment/>
    </xf>
    <xf numFmtId="181" fontId="31" fillId="24" borderId="16" xfId="0" applyNumberFormat="1" applyFont="1" applyFill="1" applyBorder="1" applyAlignment="1">
      <alignment horizontal="center"/>
    </xf>
    <xf numFmtId="0" fontId="31" fillId="14" borderId="0" xfId="0" applyFont="1" applyFill="1" applyAlignment="1">
      <alignment horizontal="center"/>
    </xf>
    <xf numFmtId="15" fontId="35" fillId="24" borderId="63" xfId="0" applyNumberFormat="1" applyFont="1" applyFill="1" applyBorder="1" applyAlignment="1">
      <alignment horizontal="center"/>
    </xf>
    <xf numFmtId="0" fontId="35" fillId="24" borderId="60" xfId="0" applyFont="1" applyFill="1" applyBorder="1" applyAlignment="1">
      <alignment/>
    </xf>
    <xf numFmtId="0" fontId="35" fillId="0" borderId="36" xfId="0" applyFont="1" applyBorder="1" applyAlignment="1">
      <alignment horizontal="center"/>
    </xf>
    <xf numFmtId="2" fontId="31" fillId="0" borderId="16" xfId="0" applyNumberFormat="1" applyFont="1" applyBorder="1" applyAlignment="1">
      <alignment horizontal="center"/>
    </xf>
    <xf numFmtId="0" fontId="87" fillId="2" borderId="0" xfId="0" applyFont="1" applyFill="1" applyBorder="1" applyAlignment="1">
      <alignment/>
    </xf>
    <xf numFmtId="0" fontId="0" fillId="0" borderId="39" xfId="0" applyBorder="1" applyAlignment="1">
      <alignment/>
    </xf>
    <xf numFmtId="0" fontId="0" fillId="0" borderId="43" xfId="0" applyBorder="1" applyAlignment="1">
      <alignment/>
    </xf>
    <xf numFmtId="0" fontId="1" fillId="2" borderId="43" xfId="0" applyFont="1" applyFill="1" applyBorder="1" applyAlignment="1">
      <alignment/>
    </xf>
    <xf numFmtId="0" fontId="1" fillId="2" borderId="60" xfId="0" applyFont="1" applyFill="1" applyBorder="1" applyAlignment="1">
      <alignment/>
    </xf>
    <xf numFmtId="0" fontId="1" fillId="0" borderId="43" xfId="0" applyFont="1" applyBorder="1" applyAlignment="1">
      <alignment/>
    </xf>
    <xf numFmtId="0" fontId="1" fillId="0" borderId="62" xfId="0" applyFont="1" applyBorder="1" applyAlignment="1">
      <alignment/>
    </xf>
    <xf numFmtId="181" fontId="31" fillId="0" borderId="16" xfId="0" applyNumberFormat="1" applyFont="1" applyBorder="1" applyAlignment="1">
      <alignment horizontal="center"/>
    </xf>
    <xf numFmtId="0" fontId="35" fillId="0" borderId="40" xfId="0" applyFont="1" applyBorder="1" applyAlignment="1">
      <alignment horizontal="center"/>
    </xf>
    <xf numFmtId="0" fontId="35" fillId="0" borderId="14" xfId="0" applyFont="1" applyBorder="1" applyAlignment="1">
      <alignment horizontal="center"/>
    </xf>
    <xf numFmtId="181" fontId="31" fillId="0" borderId="14" xfId="0" applyNumberFormat="1" applyFont="1" applyBorder="1" applyAlignment="1">
      <alignment horizontal="center"/>
    </xf>
    <xf numFmtId="0" fontId="31" fillId="0" borderId="44" xfId="0" applyFont="1" applyBorder="1" applyAlignment="1">
      <alignment horizontal="right"/>
    </xf>
    <xf numFmtId="0" fontId="35" fillId="0" borderId="44" xfId="0" applyFont="1" applyBorder="1" applyAlignment="1">
      <alignment horizontal="center"/>
    </xf>
    <xf numFmtId="0" fontId="41" fillId="0" borderId="44" xfId="0" applyFont="1" applyBorder="1" applyAlignment="1">
      <alignment horizontal="right"/>
    </xf>
    <xf numFmtId="181" fontId="31" fillId="0" borderId="44" xfId="0" applyNumberFormat="1" applyFont="1" applyBorder="1" applyAlignment="1">
      <alignment horizontal="center"/>
    </xf>
    <xf numFmtId="186" fontId="31" fillId="0" borderId="0" xfId="0" applyNumberFormat="1" applyFont="1" applyBorder="1" applyAlignment="1" applyProtection="1">
      <alignment horizontal="center"/>
      <protection/>
    </xf>
    <xf numFmtId="186" fontId="31" fillId="0" borderId="12" xfId="0" applyNumberFormat="1" applyFont="1" applyBorder="1" applyAlignment="1" applyProtection="1">
      <alignment horizontal="center"/>
      <protection/>
    </xf>
    <xf numFmtId="0" fontId="31" fillId="0" borderId="9" xfId="0" applyFont="1" applyBorder="1" applyAlignment="1" applyProtection="1">
      <alignment horizontal="left"/>
      <protection/>
    </xf>
    <xf numFmtId="2" fontId="31" fillId="0" borderId="1" xfId="0" applyNumberFormat="1" applyFont="1" applyBorder="1" applyAlignment="1" quotePrefix="1">
      <alignment horizontal="center"/>
    </xf>
    <xf numFmtId="2" fontId="31" fillId="0" borderId="8" xfId="0" applyNumberFormat="1" applyFont="1" applyBorder="1" applyAlignment="1" quotePrefix="1">
      <alignment horizontal="center"/>
    </xf>
    <xf numFmtId="0" fontId="31" fillId="0" borderId="9" xfId="0" applyFont="1" applyBorder="1" applyAlignment="1" applyProtection="1">
      <alignment/>
      <protection/>
    </xf>
    <xf numFmtId="0" fontId="72" fillId="0" borderId="5" xfId="0" applyFont="1" applyBorder="1" applyAlignment="1" applyProtection="1" quotePrefix="1">
      <alignment horizontal="left"/>
      <protection/>
    </xf>
    <xf numFmtId="0" fontId="72" fillId="0" borderId="37" xfId="0" applyFont="1" applyBorder="1" applyAlignment="1" applyProtection="1" quotePrefix="1">
      <alignment horizontal="left"/>
      <protection/>
    </xf>
    <xf numFmtId="0" fontId="72" fillId="0" borderId="5" xfId="0" applyFont="1" applyBorder="1" applyAlignment="1" applyProtection="1" quotePrefix="1">
      <alignment horizontal="right"/>
      <protection/>
    </xf>
    <xf numFmtId="0" fontId="75" fillId="20" borderId="0" xfId="0" applyFont="1" applyFill="1" applyAlignment="1">
      <alignment horizontal="center"/>
    </xf>
    <xf numFmtId="0" fontId="88" fillId="20" borderId="0" xfId="0" applyFont="1" applyFill="1" applyAlignment="1" applyProtection="1">
      <alignment horizontal="center"/>
      <protection locked="0"/>
    </xf>
    <xf numFmtId="0" fontId="89" fillId="26" borderId="0" xfId="0" applyFont="1" applyFill="1" applyAlignment="1" applyProtection="1">
      <alignment horizontal="center"/>
      <protection/>
    </xf>
    <xf numFmtId="0" fontId="0" fillId="20" borderId="0" xfId="0" applyFill="1" applyBorder="1" applyAlignment="1">
      <alignment/>
    </xf>
    <xf numFmtId="0" fontId="1" fillId="27" borderId="0" xfId="0" applyFont="1" applyFill="1" applyBorder="1" applyAlignment="1">
      <alignment/>
    </xf>
    <xf numFmtId="0" fontId="1" fillId="20" borderId="0" xfId="0" applyFont="1" applyFill="1" applyBorder="1" applyAlignment="1">
      <alignment/>
    </xf>
    <xf numFmtId="0" fontId="44" fillId="2" borderId="0" xfId="0" applyFont="1" applyFill="1" applyBorder="1" applyAlignment="1">
      <alignment/>
    </xf>
    <xf numFmtId="0" fontId="75" fillId="13" borderId="0" xfId="0" applyFont="1" applyFill="1" applyAlignment="1" applyProtection="1">
      <alignment horizontal="left"/>
      <protection/>
    </xf>
    <xf numFmtId="0" fontId="1" fillId="27" borderId="0" xfId="0" applyFont="1" applyFill="1" applyAlignment="1">
      <alignment/>
    </xf>
    <xf numFmtId="0" fontId="1" fillId="20" borderId="0" xfId="0" applyFont="1" applyFill="1" applyAlignment="1">
      <alignment horizontal="center"/>
    </xf>
    <xf numFmtId="1" fontId="1" fillId="14" borderId="0" xfId="0" applyNumberFormat="1" applyFont="1" applyFill="1" applyAlignment="1" applyProtection="1">
      <alignment horizontal="center"/>
      <protection/>
    </xf>
    <xf numFmtId="0" fontId="32" fillId="0" borderId="64" xfId="0" applyFont="1" applyBorder="1" applyAlignment="1">
      <alignment horizontal="center" vertical="center"/>
    </xf>
    <xf numFmtId="0" fontId="32" fillId="2" borderId="65" xfId="0" applyFont="1" applyFill="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191" fontId="71" fillId="0" borderId="4" xfId="0" applyNumberFormat="1" applyFont="1" applyBorder="1" applyAlignment="1" applyProtection="1">
      <alignment horizontal="center"/>
      <protection/>
    </xf>
    <xf numFmtId="191" fontId="71" fillId="0" borderId="13" xfId="0" applyNumberFormat="1" applyFont="1" applyBorder="1" applyAlignment="1" applyProtection="1">
      <alignment horizontal="center"/>
      <protection/>
    </xf>
    <xf numFmtId="191" fontId="71" fillId="0" borderId="5" xfId="0" applyNumberFormat="1" applyFont="1" applyBorder="1" applyAlignment="1" applyProtection="1">
      <alignment horizontal="center"/>
      <protection/>
    </xf>
    <xf numFmtId="191" fontId="71" fillId="0" borderId="9" xfId="0" applyNumberFormat="1" applyFont="1" applyBorder="1" applyAlignment="1" applyProtection="1">
      <alignment horizontal="center"/>
      <protection/>
    </xf>
    <xf numFmtId="191" fontId="71" fillId="0" borderId="0" xfId="0" applyNumberFormat="1" applyFont="1" applyBorder="1" applyAlignment="1" applyProtection="1">
      <alignment horizontal="center"/>
      <protection/>
    </xf>
    <xf numFmtId="191" fontId="71" fillId="0" borderId="8" xfId="0" applyNumberFormat="1" applyFont="1" applyBorder="1" applyAlignment="1" applyProtection="1">
      <alignment horizontal="center"/>
      <protection/>
    </xf>
    <xf numFmtId="191" fontId="31" fillId="0" borderId="46" xfId="0" applyNumberFormat="1" applyFont="1" applyBorder="1" applyAlignment="1" applyProtection="1">
      <alignment horizontal="center"/>
      <protection/>
    </xf>
    <xf numFmtId="191" fontId="31" fillId="0" borderId="43" xfId="0" applyNumberFormat="1" applyFont="1" applyBorder="1" applyAlignment="1" applyProtection="1">
      <alignment horizontal="center"/>
      <protection/>
    </xf>
    <xf numFmtId="191" fontId="31" fillId="0" borderId="45" xfId="0" applyNumberFormat="1" applyFont="1" applyBorder="1" applyAlignment="1" applyProtection="1">
      <alignment horizontal="center"/>
      <protection/>
    </xf>
    <xf numFmtId="0" fontId="94" fillId="2" borderId="35" xfId="0" applyFont="1" applyFill="1" applyBorder="1" applyAlignment="1" applyProtection="1">
      <alignment horizontal="left"/>
      <protection/>
    </xf>
    <xf numFmtId="0" fontId="95" fillId="2" borderId="0" xfId="0" applyFont="1" applyFill="1" applyBorder="1" applyAlignment="1" applyProtection="1">
      <alignment horizontal="left"/>
      <protection/>
    </xf>
    <xf numFmtId="0" fontId="37" fillId="0" borderId="35" xfId="0" applyFont="1" applyBorder="1" applyAlignment="1" applyProtection="1">
      <alignment vertical="center"/>
      <protection/>
    </xf>
    <xf numFmtId="0" fontId="94" fillId="13" borderId="0" xfId="0" applyFont="1" applyFill="1" applyAlignment="1" applyProtection="1">
      <alignment horizontal="left" vertical="center"/>
      <protection/>
    </xf>
    <xf numFmtId="0" fontId="96" fillId="0" borderId="0" xfId="0" applyFont="1" applyAlignment="1">
      <alignment/>
    </xf>
    <xf numFmtId="0" fontId="96" fillId="0" borderId="0" xfId="0" applyFont="1" applyBorder="1" applyAlignment="1">
      <alignment horizontal="left"/>
    </xf>
    <xf numFmtId="0" fontId="96" fillId="0" borderId="0" xfId="0" applyFont="1" applyAlignment="1">
      <alignment horizontal="left"/>
    </xf>
    <xf numFmtId="2" fontId="97" fillId="0" borderId="9" xfId="0" applyNumberFormat="1" applyFont="1" applyBorder="1" applyAlignment="1">
      <alignment horizontal="center"/>
    </xf>
    <xf numFmtId="2" fontId="97" fillId="0" borderId="8" xfId="0" applyNumberFormat="1" applyFont="1" applyBorder="1" applyAlignment="1">
      <alignment horizontal="center"/>
    </xf>
    <xf numFmtId="2" fontId="97" fillId="0" borderId="12" xfId="0" applyNumberFormat="1" applyFont="1" applyBorder="1" applyAlignment="1">
      <alignment horizontal="center"/>
    </xf>
    <xf numFmtId="2" fontId="97" fillId="0" borderId="11" xfId="0" applyNumberFormat="1" applyFont="1" applyBorder="1" applyAlignment="1">
      <alignment horizontal="center"/>
    </xf>
    <xf numFmtId="2" fontId="97" fillId="0" borderId="1" xfId="0" applyNumberFormat="1" applyFont="1" applyBorder="1" applyAlignment="1">
      <alignment horizontal="center"/>
    </xf>
    <xf numFmtId="2" fontId="97" fillId="0" borderId="67" xfId="0" applyNumberFormat="1" applyFont="1" applyBorder="1" applyAlignment="1">
      <alignment horizontal="center"/>
    </xf>
    <xf numFmtId="2" fontId="97" fillId="0" borderId="68" xfId="0" applyNumberFormat="1" applyFont="1" applyBorder="1" applyAlignment="1">
      <alignment horizontal="center"/>
    </xf>
    <xf numFmtId="2" fontId="97" fillId="0" borderId="69" xfId="0" applyNumberFormat="1" applyFont="1" applyBorder="1" applyAlignment="1">
      <alignment horizontal="center"/>
    </xf>
    <xf numFmtId="0" fontId="97" fillId="24" borderId="0" xfId="0" applyFont="1" applyFill="1" applyAlignment="1">
      <alignment horizontal="right"/>
    </xf>
    <xf numFmtId="0" fontId="97" fillId="24" borderId="0" xfId="0" applyFont="1" applyFill="1" applyAlignment="1">
      <alignment horizontal="left"/>
    </xf>
    <xf numFmtId="0" fontId="96" fillId="24" borderId="0" xfId="0" applyFont="1" applyFill="1" applyBorder="1" applyAlignment="1">
      <alignment horizontal="left"/>
    </xf>
    <xf numFmtId="0" fontId="94" fillId="24" borderId="0" xfId="0" applyFont="1" applyFill="1" applyAlignment="1">
      <alignment horizontal="left"/>
    </xf>
    <xf numFmtId="0" fontId="96" fillId="24" borderId="0" xfId="0" applyFont="1" applyFill="1" applyAlignment="1">
      <alignment horizontal="left"/>
    </xf>
    <xf numFmtId="0" fontId="96" fillId="2" borderId="35" xfId="0" applyFont="1" applyFill="1" applyBorder="1" applyAlignment="1">
      <alignment horizontal="left"/>
    </xf>
    <xf numFmtId="0" fontId="98" fillId="28" borderId="0" xfId="0" applyFont="1" applyFill="1" applyBorder="1" applyAlignment="1">
      <alignment horizontal="left"/>
    </xf>
    <xf numFmtId="0" fontId="96" fillId="2" borderId="0" xfId="0" applyFont="1" applyFill="1" applyBorder="1" applyAlignment="1">
      <alignment horizontal="right"/>
    </xf>
    <xf numFmtId="0" fontId="96" fillId="2" borderId="0" xfId="0" applyFont="1" applyFill="1" applyBorder="1" applyAlignment="1">
      <alignment horizontal="left"/>
    </xf>
    <xf numFmtId="0" fontId="96" fillId="0" borderId="0" xfId="0" applyFont="1" applyBorder="1" applyAlignment="1">
      <alignment/>
    </xf>
    <xf numFmtId="0" fontId="99" fillId="0" borderId="0" xfId="0" applyFont="1" applyBorder="1" applyAlignment="1">
      <alignment horizontal="right"/>
    </xf>
    <xf numFmtId="2" fontId="100" fillId="0" borderId="0" xfId="0" applyNumberFormat="1" applyFont="1" applyBorder="1" applyAlignment="1">
      <alignment horizontal="center"/>
    </xf>
    <xf numFmtId="1" fontId="100" fillId="0" borderId="0" xfId="0" applyNumberFormat="1" applyFont="1" applyBorder="1" applyAlignment="1">
      <alignment horizontal="center"/>
    </xf>
    <xf numFmtId="181" fontId="100" fillId="0" borderId="0" xfId="0" applyNumberFormat="1" applyFont="1" applyBorder="1" applyAlignment="1">
      <alignment horizontal="center"/>
    </xf>
    <xf numFmtId="2" fontId="101" fillId="0" borderId="0" xfId="0" applyNumberFormat="1" applyFont="1" applyBorder="1" applyAlignment="1">
      <alignment horizontal="center"/>
    </xf>
    <xf numFmtId="0" fontId="99" fillId="24" borderId="0" xfId="0" applyFont="1" applyFill="1" applyBorder="1" applyAlignment="1">
      <alignment horizontal="right"/>
    </xf>
    <xf numFmtId="0" fontId="102" fillId="2" borderId="35" xfId="0" applyFont="1" applyFill="1" applyBorder="1" applyAlignment="1">
      <alignment horizontal="left"/>
    </xf>
    <xf numFmtId="0" fontId="103" fillId="28" borderId="0" xfId="0" applyFont="1" applyFill="1" applyBorder="1" applyAlignment="1">
      <alignment horizontal="left"/>
    </xf>
    <xf numFmtId="0" fontId="102" fillId="2" borderId="0" xfId="0" applyFont="1" applyFill="1" applyBorder="1" applyAlignment="1">
      <alignment horizontal="right"/>
    </xf>
    <xf numFmtId="0" fontId="102" fillId="2" borderId="0" xfId="0" applyFont="1" applyFill="1" applyBorder="1" applyAlignment="1">
      <alignment horizontal="left"/>
    </xf>
    <xf numFmtId="0" fontId="104" fillId="24" borderId="36" xfId="0" applyFont="1" applyFill="1" applyBorder="1" applyAlignment="1">
      <alignment horizontal="right"/>
    </xf>
    <xf numFmtId="0" fontId="104" fillId="0" borderId="63" xfId="0" applyFont="1" applyBorder="1" applyAlignment="1">
      <alignment horizontal="right"/>
    </xf>
    <xf numFmtId="0" fontId="104" fillId="0" borderId="40" xfId="0" applyFont="1" applyBorder="1" applyAlignment="1">
      <alignment horizontal="right"/>
    </xf>
    <xf numFmtId="0" fontId="104" fillId="0" borderId="36" xfId="0" applyFont="1" applyBorder="1" applyAlignment="1">
      <alignment horizontal="right"/>
    </xf>
    <xf numFmtId="0" fontId="104" fillId="0" borderId="44" xfId="0" applyFont="1" applyBorder="1" applyAlignment="1">
      <alignment horizontal="right"/>
    </xf>
    <xf numFmtId="0" fontId="104" fillId="2" borderId="40" xfId="0" applyFont="1" applyFill="1" applyBorder="1" applyAlignment="1">
      <alignment horizontal="right"/>
    </xf>
    <xf numFmtId="0" fontId="104" fillId="0" borderId="58" xfId="0" applyFont="1" applyBorder="1" applyAlignment="1">
      <alignment horizontal="right"/>
    </xf>
    <xf numFmtId="0" fontId="104" fillId="0" borderId="59" xfId="0" applyFont="1" applyBorder="1" applyAlignment="1">
      <alignment horizontal="right"/>
    </xf>
    <xf numFmtId="0" fontId="104" fillId="2" borderId="36" xfId="0" applyFont="1" applyFill="1" applyBorder="1" applyAlignment="1">
      <alignment horizontal="right"/>
    </xf>
    <xf numFmtId="0" fontId="104" fillId="27" borderId="0" xfId="0" applyFont="1" applyFill="1" applyBorder="1" applyAlignment="1">
      <alignment horizontal="right"/>
    </xf>
    <xf numFmtId="0" fontId="104" fillId="2" borderId="63" xfId="0" applyFont="1" applyFill="1" applyBorder="1" applyAlignment="1">
      <alignment horizontal="right"/>
    </xf>
    <xf numFmtId="0" fontId="104" fillId="2" borderId="0" xfId="0" applyFont="1" applyFill="1" applyBorder="1" applyAlignment="1">
      <alignment horizontal="right"/>
    </xf>
    <xf numFmtId="2" fontId="104" fillId="0" borderId="36" xfId="0" applyNumberFormat="1" applyFont="1" applyBorder="1" applyAlignment="1">
      <alignment horizontal="right"/>
    </xf>
    <xf numFmtId="0" fontId="104" fillId="0" borderId="70" xfId="0" applyFont="1" applyBorder="1" applyAlignment="1">
      <alignment horizontal="right"/>
    </xf>
    <xf numFmtId="2" fontId="31" fillId="0" borderId="15" xfId="0" applyNumberFormat="1" applyFont="1" applyBorder="1" applyAlignment="1">
      <alignment horizontal="center"/>
    </xf>
    <xf numFmtId="0" fontId="31" fillId="0" borderId="8" xfId="0" applyFont="1" applyBorder="1" applyAlignment="1">
      <alignment horizontal="right"/>
    </xf>
    <xf numFmtId="0" fontId="31" fillId="0" borderId="14" xfId="0" applyFont="1" applyBorder="1" applyAlignment="1">
      <alignment horizontal="left"/>
    </xf>
    <xf numFmtId="181" fontId="31" fillId="24" borderId="13" xfId="0" applyNumberFormat="1" applyFont="1" applyFill="1" applyBorder="1" applyAlignment="1">
      <alignment horizontal="center"/>
    </xf>
    <xf numFmtId="0" fontId="104" fillId="0" borderId="71" xfId="0" applyFont="1" applyBorder="1" applyAlignment="1">
      <alignment horizontal="right"/>
    </xf>
    <xf numFmtId="1" fontId="105" fillId="24" borderId="59" xfId="0" applyNumberFormat="1" applyFont="1" applyFill="1" applyBorder="1" applyAlignment="1">
      <alignment horizontal="right"/>
    </xf>
    <xf numFmtId="15" fontId="105" fillId="24" borderId="72" xfId="0" applyNumberFormat="1" applyFont="1" applyFill="1" applyBorder="1" applyAlignment="1">
      <alignment horizontal="right"/>
    </xf>
    <xf numFmtId="1" fontId="72" fillId="24" borderId="59" xfId="0" applyNumberFormat="1" applyFont="1" applyFill="1" applyBorder="1" applyAlignment="1">
      <alignment horizontal="right"/>
    </xf>
    <xf numFmtId="15" fontId="72" fillId="24" borderId="72" xfId="0" applyNumberFormat="1" applyFont="1" applyFill="1" applyBorder="1" applyAlignment="1">
      <alignment horizontal="center"/>
    </xf>
    <xf numFmtId="0" fontId="94" fillId="0" borderId="0" xfId="0" applyFont="1" applyAlignment="1">
      <alignment horizontal="center"/>
    </xf>
    <xf numFmtId="0" fontId="106" fillId="12" borderId="0" xfId="0" applyFont="1" applyFill="1" applyAlignment="1">
      <alignment horizontal="centerContinuous"/>
    </xf>
    <xf numFmtId="0" fontId="106" fillId="11" borderId="0" xfId="0" applyFont="1" applyFill="1" applyAlignment="1">
      <alignment horizontal="centerContinuous"/>
    </xf>
    <xf numFmtId="2" fontId="42" fillId="0" borderId="0" xfId="0" applyNumberFormat="1" applyFont="1" applyBorder="1" applyAlignment="1" applyProtection="1">
      <alignment horizontal="center"/>
      <protection locked="0"/>
    </xf>
    <xf numFmtId="0" fontId="37" fillId="2" borderId="0" xfId="0" applyFont="1" applyFill="1" applyBorder="1" applyAlignment="1" applyProtection="1">
      <alignment horizontal="left"/>
      <protection/>
    </xf>
    <xf numFmtId="1" fontId="35" fillId="0" borderId="73" xfId="0" applyNumberFormat="1" applyFont="1" applyBorder="1" applyAlignment="1" applyProtection="1">
      <alignment horizontal="left"/>
      <protection/>
    </xf>
    <xf numFmtId="1" fontId="34" fillId="0" borderId="17" xfId="0" applyNumberFormat="1" applyFont="1" applyBorder="1" applyAlignment="1" applyProtection="1">
      <alignment horizontal="center"/>
      <protection locked="0"/>
    </xf>
    <xf numFmtId="15" fontId="63" fillId="0" borderId="12" xfId="0" applyNumberFormat="1" applyFont="1" applyBorder="1" applyAlignment="1" applyProtection="1">
      <alignment horizontal="center"/>
      <protection locked="0"/>
    </xf>
    <xf numFmtId="0" fontId="107" fillId="0" borderId="0" xfId="0" applyFont="1" applyBorder="1" applyAlignment="1" applyProtection="1">
      <alignment horizontal="center"/>
      <protection/>
    </xf>
    <xf numFmtId="0" fontId="0" fillId="0" borderId="31" xfId="0" applyBorder="1" applyAlignment="1" applyProtection="1">
      <alignment/>
      <protection/>
    </xf>
    <xf numFmtId="1" fontId="7" fillId="0" borderId="0" xfId="0" applyNumberFormat="1" applyFont="1" applyBorder="1" applyAlignment="1" applyProtection="1">
      <alignment/>
      <protection/>
    </xf>
    <xf numFmtId="1" fontId="4" fillId="0" borderId="0" xfId="0" applyNumberFormat="1" applyFont="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1" fontId="34" fillId="0" borderId="0" xfId="0" applyNumberFormat="1" applyFont="1" applyBorder="1" applyAlignment="1" applyProtection="1">
      <alignment horizontal="left"/>
      <protection locked="0"/>
    </xf>
    <xf numFmtId="1" fontId="35" fillId="2" borderId="0" xfId="0" applyNumberFormat="1" applyFont="1" applyFill="1" applyBorder="1" applyAlignment="1" applyProtection="1">
      <alignment/>
      <protection/>
    </xf>
    <xf numFmtId="0" fontId="0" fillId="2" borderId="0" xfId="0" applyFont="1" applyFill="1" applyBorder="1" applyAlignment="1" applyProtection="1">
      <alignment/>
      <protection/>
    </xf>
    <xf numFmtId="1" fontId="31" fillId="0" borderId="0" xfId="0" applyNumberFormat="1" applyFont="1" applyBorder="1" applyAlignment="1" applyProtection="1">
      <alignment horizontal="right"/>
      <protection/>
    </xf>
    <xf numFmtId="1" fontId="31" fillId="0" borderId="0" xfId="0" applyNumberFormat="1" applyFont="1" applyBorder="1" applyAlignment="1" applyProtection="1">
      <alignment/>
      <protection/>
    </xf>
    <xf numFmtId="1" fontId="36" fillId="2" borderId="0" xfId="0" applyNumberFormat="1" applyFont="1" applyFill="1" applyBorder="1" applyAlignment="1" applyProtection="1">
      <alignment/>
      <protection/>
    </xf>
    <xf numFmtId="1" fontId="4" fillId="0" borderId="0" xfId="0" applyNumberFormat="1" applyFont="1" applyBorder="1" applyAlignment="1" applyProtection="1">
      <alignment horizontal="right"/>
      <protection/>
    </xf>
    <xf numFmtId="1" fontId="37" fillId="0" borderId="27" xfId="0" applyNumberFormat="1" applyFont="1" applyBorder="1" applyAlignment="1" applyProtection="1" quotePrefix="1">
      <alignment horizontal="center"/>
      <protection/>
    </xf>
    <xf numFmtId="0" fontId="35" fillId="2" borderId="20" xfId="0" applyFont="1" applyFill="1" applyBorder="1" applyAlignment="1" applyProtection="1" quotePrefix="1">
      <alignment/>
      <protection/>
    </xf>
    <xf numFmtId="0" fontId="37" fillId="2" borderId="42" xfId="0" applyFont="1" applyFill="1" applyBorder="1" applyAlignment="1" applyProtection="1" quotePrefix="1">
      <alignment/>
      <protection/>
    </xf>
    <xf numFmtId="1" fontId="37" fillId="0" borderId="16" xfId="0" applyNumberFormat="1" applyFont="1" applyBorder="1" applyAlignment="1" applyProtection="1" quotePrefix="1">
      <alignment horizontal="center"/>
      <protection/>
    </xf>
    <xf numFmtId="0" fontId="104" fillId="0" borderId="36" xfId="0" applyFont="1" applyBorder="1" applyAlignment="1" quotePrefix="1">
      <alignment horizontal="right"/>
    </xf>
    <xf numFmtId="0" fontId="90" fillId="29" borderId="0" xfId="0" applyFont="1" applyFill="1" applyAlignment="1">
      <alignment/>
    </xf>
    <xf numFmtId="0" fontId="72" fillId="29" borderId="0" xfId="0" applyFont="1" applyFill="1" applyAlignment="1">
      <alignment/>
    </xf>
    <xf numFmtId="0" fontId="45" fillId="20" borderId="0" xfId="0" applyFont="1" applyFill="1" applyAlignment="1">
      <alignment horizontal="center"/>
    </xf>
    <xf numFmtId="0" fontId="72" fillId="29" borderId="0" xfId="0" applyFont="1" applyFill="1" applyAlignment="1">
      <alignment horizontal="left" vertical="top" wrapText="1"/>
    </xf>
    <xf numFmtId="0" fontId="92" fillId="29" borderId="0" xfId="0" applyFont="1" applyFill="1" applyAlignment="1">
      <alignment/>
    </xf>
    <xf numFmtId="0" fontId="0" fillId="29" borderId="0" xfId="0" applyFill="1" applyAlignment="1">
      <alignment/>
    </xf>
    <xf numFmtId="0" fontId="90" fillId="29" borderId="0" xfId="0" applyFont="1" applyFill="1" applyAlignment="1">
      <alignment horizontal="left"/>
    </xf>
    <xf numFmtId="181" fontId="112" fillId="13" borderId="0" xfId="0" applyNumberFormat="1" applyFont="1" applyFill="1" applyAlignment="1" applyProtection="1">
      <alignment horizontal="center" vertical="center"/>
      <protection/>
    </xf>
    <xf numFmtId="0" fontId="113" fillId="20" borderId="0" xfId="0" applyFont="1" applyFill="1" applyAlignment="1">
      <alignment/>
    </xf>
    <xf numFmtId="0" fontId="113" fillId="0" borderId="0" xfId="0" applyFont="1" applyAlignment="1">
      <alignment/>
    </xf>
    <xf numFmtId="15" fontId="72" fillId="0" borderId="74" xfId="0" applyNumberFormat="1" applyFont="1" applyBorder="1" applyAlignment="1">
      <alignment horizontal="center" vertical="center"/>
    </xf>
    <xf numFmtId="181" fontId="72" fillId="2" borderId="75" xfId="0" applyNumberFormat="1" applyFont="1" applyFill="1" applyBorder="1" applyAlignment="1">
      <alignment horizontal="center" vertical="center"/>
    </xf>
    <xf numFmtId="0" fontId="72" fillId="0" borderId="75" xfId="0" applyFont="1" applyBorder="1" applyAlignment="1">
      <alignment horizontal="center" vertical="center" wrapText="1"/>
    </xf>
    <xf numFmtId="0" fontId="72" fillId="0" borderId="76" xfId="0" applyFont="1" applyBorder="1" applyAlignment="1">
      <alignment horizontal="center" vertical="center"/>
    </xf>
    <xf numFmtId="15" fontId="72" fillId="0" borderId="77" xfId="0" applyNumberFormat="1" applyFont="1" applyBorder="1" applyAlignment="1">
      <alignment horizontal="center" vertical="center"/>
    </xf>
    <xf numFmtId="181" fontId="72" fillId="2" borderId="78" xfId="0" applyNumberFormat="1" applyFont="1" applyFill="1" applyBorder="1" applyAlignment="1">
      <alignment horizontal="center" vertical="center"/>
    </xf>
    <xf numFmtId="0" fontId="72" fillId="0" borderId="78" xfId="0" applyFont="1" applyBorder="1" applyAlignment="1">
      <alignment horizontal="center" vertical="center" wrapText="1"/>
    </xf>
    <xf numFmtId="0" fontId="72" fillId="0" borderId="79" xfId="0" applyFont="1" applyBorder="1" applyAlignment="1">
      <alignment horizontal="center" vertical="center"/>
    </xf>
    <xf numFmtId="178" fontId="45" fillId="20" borderId="0" xfId="0" applyNumberFormat="1" applyFont="1" applyFill="1" applyBorder="1" applyAlignment="1">
      <alignment horizontal="center"/>
    </xf>
    <xf numFmtId="0" fontId="45" fillId="20" borderId="0" xfId="0" applyFont="1" applyFill="1" applyBorder="1" applyAlignment="1">
      <alignment horizontal="center"/>
    </xf>
    <xf numFmtId="178" fontId="45" fillId="0" borderId="0" xfId="0" applyNumberFormat="1" applyFont="1" applyBorder="1" applyAlignment="1">
      <alignment horizontal="center"/>
    </xf>
    <xf numFmtId="0" fontId="45" fillId="0" borderId="0" xfId="0" applyFont="1" applyBorder="1" applyAlignment="1">
      <alignment horizontal="center"/>
    </xf>
    <xf numFmtId="1" fontId="36" fillId="0" borderId="26" xfId="0" applyNumberFormat="1" applyFont="1" applyBorder="1" applyAlignment="1" applyProtection="1">
      <alignment horizontal="left" vertical="center"/>
      <protection/>
    </xf>
    <xf numFmtId="1" fontId="36" fillId="0" borderId="26" xfId="0" applyNumberFormat="1" applyFont="1" applyBorder="1" applyAlignment="1" applyProtection="1">
      <alignment horizontal="right" vertical="center"/>
      <protection/>
    </xf>
    <xf numFmtId="1" fontId="85" fillId="0" borderId="52" xfId="0" applyNumberFormat="1" applyFont="1" applyBorder="1" applyAlignment="1" applyProtection="1">
      <alignment horizontal="center" vertical="center" wrapText="1"/>
      <protection locked="0"/>
    </xf>
    <xf numFmtId="1" fontId="85" fillId="0" borderId="21" xfId="0" applyNumberFormat="1" applyFont="1" applyBorder="1" applyAlignment="1" applyProtection="1">
      <alignment horizontal="center" vertical="center" wrapText="1"/>
      <protection locked="0"/>
    </xf>
    <xf numFmtId="1" fontId="85" fillId="0" borderId="22" xfId="0" applyNumberFormat="1" applyFont="1" applyBorder="1" applyAlignment="1" applyProtection="1">
      <alignment horizontal="center" vertical="center" wrapText="1"/>
      <protection locked="0"/>
    </xf>
    <xf numFmtId="181" fontId="31" fillId="0" borderId="9" xfId="0" applyNumberFormat="1" applyFont="1" applyBorder="1" applyAlignment="1" applyProtection="1">
      <alignment horizontal="center"/>
      <protection/>
    </xf>
    <xf numFmtId="181" fontId="31" fillId="0" borderId="0" xfId="0" applyNumberFormat="1" applyFont="1" applyBorder="1" applyAlignment="1" applyProtection="1">
      <alignment horizontal="center"/>
      <protection/>
    </xf>
    <xf numFmtId="181" fontId="31" fillId="0" borderId="8" xfId="0" applyNumberFormat="1" applyFont="1" applyBorder="1" applyAlignment="1" applyProtection="1">
      <alignment horizontal="center"/>
      <protection/>
    </xf>
    <xf numFmtId="15" fontId="35" fillId="24" borderId="57" xfId="0" applyNumberFormat="1" applyFont="1" applyFill="1" applyBorder="1" applyAlignment="1">
      <alignment horizontal="center"/>
    </xf>
    <xf numFmtId="15" fontId="35" fillId="24" borderId="72" xfId="0" applyNumberFormat="1" applyFont="1" applyFill="1" applyBorder="1" applyAlignment="1">
      <alignment horizontal="center"/>
    </xf>
    <xf numFmtId="0" fontId="72" fillId="29" borderId="0" xfId="0" applyFont="1" applyFill="1" applyAlignment="1">
      <alignment horizontal="justify" vertical="top" wrapText="1"/>
    </xf>
    <xf numFmtId="0" fontId="0" fillId="29" borderId="0" xfId="0" applyFill="1" applyAlignment="1">
      <alignment vertical="top" wrapText="1"/>
    </xf>
    <xf numFmtId="0" fontId="110" fillId="29"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dxfs count="17">
    <dxf>
      <font>
        <color rgb="FFFFFFFF"/>
      </font>
      <border/>
    </dxf>
    <dxf>
      <font>
        <color rgb="FF008000"/>
      </font>
      <border/>
    </dxf>
    <dxf>
      <font>
        <b/>
        <i val="0"/>
        <u val="none"/>
        <color rgb="FFFF0000"/>
      </font>
      <fill>
        <patternFill>
          <bgColor rgb="FFEAEAEA"/>
        </patternFill>
      </fill>
      <border/>
    </dxf>
    <dxf>
      <font>
        <b/>
        <i val="0"/>
        <u val="none"/>
        <color rgb="FFFFFFFF"/>
      </font>
      <fill>
        <patternFill>
          <bgColor rgb="FFFF0000"/>
        </patternFill>
      </fill>
      <border/>
    </dxf>
    <dxf>
      <font>
        <color rgb="FF969696"/>
      </font>
      <border/>
    </dxf>
    <dxf>
      <font>
        <b/>
        <i val="0"/>
        <u val="none"/>
        <color rgb="FFEAEAEA"/>
      </font>
      <fill>
        <patternFill>
          <bgColor rgb="FFEAEAEA"/>
        </patternFill>
      </fill>
      <border/>
    </dxf>
    <dxf>
      <font>
        <b/>
        <i val="0"/>
        <u val="none"/>
        <color rgb="FF969696"/>
      </font>
      <fill>
        <patternFill>
          <bgColor rgb="FFEAEAEA"/>
        </patternFill>
      </fill>
      <border/>
    </dxf>
    <dxf>
      <font>
        <b val="0"/>
        <i val="0"/>
        <color rgb="FF993300"/>
      </font>
      <border/>
    </dxf>
    <dxf>
      <font>
        <b val="0"/>
        <i val="0"/>
        <color rgb="FF3366FF"/>
      </font>
      <border/>
    </dxf>
    <dxf>
      <font>
        <color rgb="FF008000"/>
      </font>
      <fill>
        <patternFill patternType="none">
          <bgColor indexed="65"/>
        </patternFill>
      </fill>
      <border/>
    </dxf>
    <dxf>
      <font>
        <color rgb="FFEAEAEA"/>
      </font>
      <fill>
        <patternFill>
          <bgColor rgb="FFEAEAEA"/>
        </patternFill>
      </fill>
      <border/>
    </dxf>
    <dxf>
      <font>
        <color rgb="FFEAEAEA"/>
      </font>
      <fill>
        <patternFill patternType="solid">
          <bgColor rgb="FFEAEAEA"/>
        </patternFill>
      </fill>
      <border/>
    </dxf>
    <dxf>
      <font>
        <color rgb="FFE7CFB7"/>
      </font>
      <border/>
    </dxf>
    <dxf>
      <font>
        <b val="0"/>
        <i val="0"/>
        <u val="none"/>
        <color rgb="FF800080"/>
      </font>
      <fill>
        <patternFill patternType="none">
          <bgColor indexed="65"/>
        </patternFill>
      </fill>
      <border/>
    </dxf>
    <dxf>
      <font>
        <b val="0"/>
        <i val="0"/>
        <color rgb="FFFF00FF"/>
      </font>
      <fill>
        <patternFill patternType="none">
          <bgColor indexed="65"/>
        </patternFill>
      </fill>
      <border/>
    </dxf>
    <dxf>
      <font>
        <color rgb="FFFF00FF"/>
      </font>
      <border/>
    </dxf>
    <dxf>
      <font>
        <color rgb="FFEAEAEA"/>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20000"/>
      <rgbColor rgb="00008000"/>
      <rgbColor rgb="00000080"/>
      <rgbColor rgb="00808000"/>
      <rgbColor rgb="00800080"/>
      <rgbColor rgb="00008080"/>
      <rgbColor rgb="00EAEAEA"/>
      <rgbColor rgb="00808080"/>
      <rgbColor rgb="000099FF"/>
      <rgbColor rgb="00993366"/>
      <rgbColor rgb="00FFFFE5"/>
      <rgbColor rgb="00CCFFFF"/>
      <rgbColor rgb="00660066"/>
      <rgbColor rgb="00E06600"/>
      <rgbColor rgb="000066CC"/>
      <rgbColor rgb="00CCCCFF"/>
      <rgbColor rgb="00000080"/>
      <rgbColor rgb="00777777"/>
      <rgbColor rgb="00FFFF00"/>
      <rgbColor rgb="0000FFFF"/>
      <rgbColor rgb="00800080"/>
      <rgbColor rgb="00800000"/>
      <rgbColor rgb="0000CC99"/>
      <rgbColor rgb="000000FF"/>
      <rgbColor rgb="0000CCFF"/>
      <rgbColor rgb="00CCFFFF"/>
      <rgbColor rgb="00CCFFCC"/>
      <rgbColor rgb="00FEEECE"/>
      <rgbColor rgb="00D1E8FF"/>
      <rgbColor rgb="00FFBBDD"/>
      <rgbColor rgb="00E4C9FF"/>
      <rgbColor rgb="00E7CFB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scatterChart>
        <c:scatterStyle val="line"/>
        <c:varyColors val="0"/>
        <c:ser>
          <c:idx val="0"/>
          <c:order val="0"/>
          <c:tx>
            <c:v>Beam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Graf!$C$9:$D$9</c:f>
              <c:numCache>
                <c:ptCount val="2"/>
                <c:pt idx="0">
                  <c:v>0</c:v>
                </c:pt>
                <c:pt idx="1">
                  <c:v>16.5</c:v>
                </c:pt>
              </c:numCache>
            </c:numRef>
          </c:xVal>
          <c:yVal>
            <c:numRef>
              <c:f>Graf!$C$10:$D$10</c:f>
              <c:numCache>
                <c:ptCount val="2"/>
                <c:pt idx="0">
                  <c:v>0</c:v>
                </c:pt>
                <c:pt idx="1">
                  <c:v>0</c:v>
                </c:pt>
              </c:numCache>
            </c:numRef>
          </c:yVal>
          <c:smooth val="0"/>
        </c:ser>
        <c:ser>
          <c:idx val="1"/>
          <c:order val="1"/>
          <c:tx>
            <c:v>Supports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Graf!$C$11:$V$11</c:f>
              <c:numCache>
                <c:ptCount val="20"/>
                <c:pt idx="0">
                  <c:v>0</c:v>
                </c:pt>
                <c:pt idx="1">
                  <c:v>0</c:v>
                </c:pt>
                <c:pt idx="3">
                  <c:v>2</c:v>
                </c:pt>
                <c:pt idx="4">
                  <c:v>2</c:v>
                </c:pt>
                <c:pt idx="6">
                  <c:v>9</c:v>
                </c:pt>
                <c:pt idx="7">
                  <c:v>9</c:v>
                </c:pt>
                <c:pt idx="9">
                  <c:v>16.5</c:v>
                </c:pt>
                <c:pt idx="10">
                  <c:v>16.5</c:v>
                </c:pt>
                <c:pt idx="12">
                  <c:v>16.5</c:v>
                </c:pt>
                <c:pt idx="13">
                  <c:v>16.5</c:v>
                </c:pt>
                <c:pt idx="15">
                  <c:v>16.5</c:v>
                </c:pt>
                <c:pt idx="16">
                  <c:v>16.5</c:v>
                </c:pt>
                <c:pt idx="18">
                  <c:v>16.5</c:v>
                </c:pt>
                <c:pt idx="19">
                  <c:v>16.5</c:v>
                </c:pt>
              </c:numCache>
            </c:numRef>
          </c:xVal>
          <c:yVal>
            <c:numRef>
              <c:f>Graf!$C$12:$V$12</c:f>
              <c:numCache>
                <c:ptCount val="20"/>
                <c:pt idx="0">
                  <c:v>0</c:v>
                </c:pt>
                <c:pt idx="1">
                  <c:v>0</c:v>
                </c:pt>
                <c:pt idx="3">
                  <c:v>-5.046266666666667</c:v>
                </c:pt>
                <c:pt idx="4">
                  <c:v>0</c:v>
                </c:pt>
                <c:pt idx="6">
                  <c:v>-5.046266666666667</c:v>
                </c:pt>
                <c:pt idx="7">
                  <c:v>0</c:v>
                </c:pt>
                <c:pt idx="9">
                  <c:v>-5.046266666666667</c:v>
                </c:pt>
                <c:pt idx="10">
                  <c:v>0</c:v>
                </c:pt>
                <c:pt idx="12">
                  <c:v>-5.046266666666667</c:v>
                </c:pt>
                <c:pt idx="13">
                  <c:v>0</c:v>
                </c:pt>
                <c:pt idx="15">
                  <c:v>-5.046266666666667</c:v>
                </c:pt>
                <c:pt idx="16">
                  <c:v>0</c:v>
                </c:pt>
                <c:pt idx="18">
                  <c:v>-5.046266666666667</c:v>
                </c:pt>
                <c:pt idx="19">
                  <c:v>0</c:v>
                </c:pt>
              </c:numCache>
            </c:numRef>
          </c:yVal>
          <c:smooth val="0"/>
        </c:ser>
        <c:ser>
          <c:idx val="3"/>
          <c:order val="2"/>
          <c:tx>
            <c:v>UDL Live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Graf!$C$13:$U$13</c:f>
              <c:numCache>
                <c:ptCount val="19"/>
                <c:pt idx="0">
                  <c:v>0</c:v>
                </c:pt>
                <c:pt idx="1">
                  <c:v>0</c:v>
                </c:pt>
                <c:pt idx="2">
                  <c:v>2</c:v>
                </c:pt>
                <c:pt idx="3">
                  <c:v>2</c:v>
                </c:pt>
                <c:pt idx="4">
                  <c:v>2</c:v>
                </c:pt>
                <c:pt idx="5">
                  <c:v>9</c:v>
                </c:pt>
                <c:pt idx="6">
                  <c:v>9</c:v>
                </c:pt>
                <c:pt idx="7">
                  <c:v>9</c:v>
                </c:pt>
                <c:pt idx="8">
                  <c:v>16.5</c:v>
                </c:pt>
                <c:pt idx="9">
                  <c:v>16.5</c:v>
                </c:pt>
                <c:pt idx="10">
                  <c:v>16.5</c:v>
                </c:pt>
                <c:pt idx="11">
                  <c:v>16.5</c:v>
                </c:pt>
                <c:pt idx="12">
                  <c:v>16.5</c:v>
                </c:pt>
                <c:pt idx="13">
                  <c:v>16.5</c:v>
                </c:pt>
                <c:pt idx="14">
                  <c:v>16.5</c:v>
                </c:pt>
                <c:pt idx="15">
                  <c:v>16.5</c:v>
                </c:pt>
                <c:pt idx="16">
                  <c:v>16.5</c:v>
                </c:pt>
                <c:pt idx="17">
                  <c:v>16.5</c:v>
                </c:pt>
                <c:pt idx="18">
                  <c:v>16.5</c:v>
                </c:pt>
              </c:numCache>
            </c:numRef>
          </c:xVal>
          <c:yVal>
            <c:numRef>
              <c:f>Graf!$C$15:$U$15</c:f>
              <c:numCache>
                <c:ptCount val="19"/>
                <c:pt idx="0">
                  <c:v>8.23369375</c:v>
                </c:pt>
                <c:pt idx="1">
                  <c:v>12.23369375</c:v>
                </c:pt>
                <c:pt idx="2">
                  <c:v>12.23369375</c:v>
                </c:pt>
                <c:pt idx="3">
                  <c:v>8.23369375</c:v>
                </c:pt>
                <c:pt idx="4">
                  <c:v>10.685066666666668</c:v>
                </c:pt>
                <c:pt idx="5">
                  <c:v>10.685066666666668</c:v>
                </c:pt>
                <c:pt idx="6">
                  <c:v>6.685066666666668</c:v>
                </c:pt>
                <c:pt idx="7">
                  <c:v>10.323320185185185</c:v>
                </c:pt>
                <c:pt idx="8">
                  <c:v>10.323320185185185</c:v>
                </c:pt>
                <c:pt idx="9">
                  <c:v>6.323320185185185</c:v>
                </c:pt>
                <c:pt idx="10">
                  <c:v>0</c:v>
                </c:pt>
                <c:pt idx="11">
                  <c:v>0</c:v>
                </c:pt>
                <c:pt idx="12">
                  <c:v>0</c:v>
                </c:pt>
                <c:pt idx="13">
                  <c:v>0</c:v>
                </c:pt>
                <c:pt idx="14">
                  <c:v>0</c:v>
                </c:pt>
                <c:pt idx="15">
                  <c:v>0</c:v>
                </c:pt>
                <c:pt idx="16">
                  <c:v>0</c:v>
                </c:pt>
                <c:pt idx="17">
                  <c:v>0</c:v>
                </c:pt>
                <c:pt idx="18">
                  <c:v>0</c:v>
                </c:pt>
              </c:numCache>
            </c:numRef>
          </c:yVal>
          <c:smooth val="0"/>
        </c:ser>
        <c:ser>
          <c:idx val="4"/>
          <c:order val="3"/>
          <c:tx>
            <c:v>PL Dead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Graf!$C$16:$AK$16</c:f>
              <c:numCache>
                <c:ptCount val="35"/>
                <c:pt idx="0">
                  <c:v>0</c:v>
                </c:pt>
                <c:pt idx="1">
                  <c:v>0</c:v>
                </c:pt>
                <c:pt idx="3">
                  <c:v>0</c:v>
                </c:pt>
                <c:pt idx="4">
                  <c:v>0</c:v>
                </c:pt>
                <c:pt idx="6">
                  <c:v>3.45</c:v>
                </c:pt>
                <c:pt idx="7">
                  <c:v>3.45</c:v>
                </c:pt>
                <c:pt idx="9">
                  <c:v>2</c:v>
                </c:pt>
                <c:pt idx="10">
                  <c:v>2</c:v>
                </c:pt>
                <c:pt idx="12">
                  <c:v>9</c:v>
                </c:pt>
                <c:pt idx="13">
                  <c:v>9</c:v>
                </c:pt>
                <c:pt idx="15">
                  <c:v>9</c:v>
                </c:pt>
                <c:pt idx="16">
                  <c:v>9</c:v>
                </c:pt>
                <c:pt idx="18">
                  <c:v>16.5</c:v>
                </c:pt>
                <c:pt idx="19">
                  <c:v>16.5</c:v>
                </c:pt>
                <c:pt idx="21">
                  <c:v>16.5</c:v>
                </c:pt>
                <c:pt idx="22">
                  <c:v>16.5</c:v>
                </c:pt>
                <c:pt idx="24">
                  <c:v>16.5</c:v>
                </c:pt>
                <c:pt idx="25">
                  <c:v>16.5</c:v>
                </c:pt>
                <c:pt idx="27">
                  <c:v>16.5</c:v>
                </c:pt>
                <c:pt idx="28">
                  <c:v>16.5</c:v>
                </c:pt>
                <c:pt idx="30">
                  <c:v>16.5</c:v>
                </c:pt>
                <c:pt idx="31">
                  <c:v>16.5</c:v>
                </c:pt>
                <c:pt idx="33">
                  <c:v>16.5</c:v>
                </c:pt>
                <c:pt idx="34">
                  <c:v>16.5</c:v>
                </c:pt>
              </c:numCache>
            </c:numRef>
          </c:xVal>
          <c:yVal>
            <c:numRef>
              <c:f>Graf!$C$17:$AK$17</c:f>
              <c:numCache>
                <c:ptCount val="35"/>
                <c:pt idx="0">
                  <c:v>12.23369375</c:v>
                </c:pt>
                <c:pt idx="1">
                  <c:v>12.23369375</c:v>
                </c:pt>
                <c:pt idx="3">
                  <c:v>12.23369375</c:v>
                </c:pt>
                <c:pt idx="4">
                  <c:v>12.23369375</c:v>
                </c:pt>
                <c:pt idx="6">
                  <c:v>10.685066666666668</c:v>
                </c:pt>
                <c:pt idx="7">
                  <c:v>19.185066666666668</c:v>
                </c:pt>
                <c:pt idx="9">
                  <c:v>10.685066666666668</c:v>
                </c:pt>
                <c:pt idx="10">
                  <c:v>10.685066666666668</c:v>
                </c:pt>
                <c:pt idx="12">
                  <c:v>10.323320185185185</c:v>
                </c:pt>
                <c:pt idx="13">
                  <c:v>10.323320185185185</c:v>
                </c:pt>
                <c:pt idx="15">
                  <c:v>10.323320185185185</c:v>
                </c:pt>
                <c:pt idx="16">
                  <c:v>10.323320185185185</c:v>
                </c:pt>
                <c:pt idx="18">
                  <c:v>0</c:v>
                </c:pt>
                <c:pt idx="19">
                  <c:v>0</c:v>
                </c:pt>
                <c:pt idx="21">
                  <c:v>0</c:v>
                </c:pt>
                <c:pt idx="22">
                  <c:v>0</c:v>
                </c:pt>
                <c:pt idx="24">
                  <c:v>0</c:v>
                </c:pt>
                <c:pt idx="25">
                  <c:v>0</c:v>
                </c:pt>
                <c:pt idx="27">
                  <c:v>0</c:v>
                </c:pt>
                <c:pt idx="28">
                  <c:v>0</c:v>
                </c:pt>
                <c:pt idx="30">
                  <c:v>0</c:v>
                </c:pt>
                <c:pt idx="31">
                  <c:v>0</c:v>
                </c:pt>
                <c:pt idx="33">
                  <c:v>0</c:v>
                </c:pt>
                <c:pt idx="34">
                  <c:v>0</c:v>
                </c:pt>
              </c:numCache>
            </c:numRef>
          </c:yVal>
          <c:smooth val="0"/>
        </c:ser>
        <c:ser>
          <c:idx val="5"/>
          <c:order val="4"/>
          <c:tx>
            <c:v>PL Live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Graf!$C$16:$AK$16</c:f>
              <c:numCache>
                <c:ptCount val="35"/>
                <c:pt idx="0">
                  <c:v>0</c:v>
                </c:pt>
                <c:pt idx="1">
                  <c:v>0</c:v>
                </c:pt>
                <c:pt idx="3">
                  <c:v>0</c:v>
                </c:pt>
                <c:pt idx="4">
                  <c:v>0</c:v>
                </c:pt>
                <c:pt idx="6">
                  <c:v>3.45</c:v>
                </c:pt>
                <c:pt idx="7">
                  <c:v>3.45</c:v>
                </c:pt>
                <c:pt idx="9">
                  <c:v>2</c:v>
                </c:pt>
                <c:pt idx="10">
                  <c:v>2</c:v>
                </c:pt>
                <c:pt idx="12">
                  <c:v>9</c:v>
                </c:pt>
                <c:pt idx="13">
                  <c:v>9</c:v>
                </c:pt>
                <c:pt idx="15">
                  <c:v>9</c:v>
                </c:pt>
                <c:pt idx="16">
                  <c:v>9</c:v>
                </c:pt>
                <c:pt idx="18">
                  <c:v>16.5</c:v>
                </c:pt>
                <c:pt idx="19">
                  <c:v>16.5</c:v>
                </c:pt>
                <c:pt idx="21">
                  <c:v>16.5</c:v>
                </c:pt>
                <c:pt idx="22">
                  <c:v>16.5</c:v>
                </c:pt>
                <c:pt idx="24">
                  <c:v>16.5</c:v>
                </c:pt>
                <c:pt idx="25">
                  <c:v>16.5</c:v>
                </c:pt>
                <c:pt idx="27">
                  <c:v>16.5</c:v>
                </c:pt>
                <c:pt idx="28">
                  <c:v>16.5</c:v>
                </c:pt>
                <c:pt idx="30">
                  <c:v>16.5</c:v>
                </c:pt>
                <c:pt idx="31">
                  <c:v>16.5</c:v>
                </c:pt>
                <c:pt idx="33">
                  <c:v>16.5</c:v>
                </c:pt>
                <c:pt idx="34">
                  <c:v>16.5</c:v>
                </c:pt>
              </c:numCache>
            </c:numRef>
          </c:xVal>
          <c:yVal>
            <c:numRef>
              <c:f>Graf!$C$18:$AK$18</c:f>
              <c:numCache>
                <c:ptCount val="35"/>
                <c:pt idx="0">
                  <c:v>12.23369375</c:v>
                </c:pt>
                <c:pt idx="1">
                  <c:v>12.23369375</c:v>
                </c:pt>
                <c:pt idx="3">
                  <c:v>12.23369375</c:v>
                </c:pt>
                <c:pt idx="4">
                  <c:v>12.23369375</c:v>
                </c:pt>
                <c:pt idx="6">
                  <c:v>19.185066666666668</c:v>
                </c:pt>
                <c:pt idx="7">
                  <c:v>20.185066666666668</c:v>
                </c:pt>
                <c:pt idx="9">
                  <c:v>10.685066666666668</c:v>
                </c:pt>
                <c:pt idx="10">
                  <c:v>10.685066666666668</c:v>
                </c:pt>
                <c:pt idx="12">
                  <c:v>10.323320185185185</c:v>
                </c:pt>
                <c:pt idx="13">
                  <c:v>10.323320185185185</c:v>
                </c:pt>
                <c:pt idx="15">
                  <c:v>10.323320185185185</c:v>
                </c:pt>
                <c:pt idx="16">
                  <c:v>10.323320185185185</c:v>
                </c:pt>
                <c:pt idx="18">
                  <c:v>0</c:v>
                </c:pt>
                <c:pt idx="19">
                  <c:v>0</c:v>
                </c:pt>
                <c:pt idx="21">
                  <c:v>0</c:v>
                </c:pt>
                <c:pt idx="22">
                  <c:v>0</c:v>
                </c:pt>
                <c:pt idx="24">
                  <c:v>0</c:v>
                </c:pt>
                <c:pt idx="25">
                  <c:v>0</c:v>
                </c:pt>
                <c:pt idx="27">
                  <c:v>0</c:v>
                </c:pt>
                <c:pt idx="28">
                  <c:v>0</c:v>
                </c:pt>
                <c:pt idx="30">
                  <c:v>0</c:v>
                </c:pt>
                <c:pt idx="31">
                  <c:v>0</c:v>
                </c:pt>
                <c:pt idx="33">
                  <c:v>0</c:v>
                </c:pt>
                <c:pt idx="34">
                  <c:v>0</c:v>
                </c:pt>
              </c:numCache>
            </c:numRef>
          </c:yVal>
          <c:smooth val="0"/>
        </c:ser>
        <c:ser>
          <c:idx val="2"/>
          <c:order val="5"/>
          <c:tx>
            <c:v>UDL Dead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Graf!$C$13:$U$13</c:f>
              <c:numCache>
                <c:ptCount val="19"/>
                <c:pt idx="0">
                  <c:v>0</c:v>
                </c:pt>
                <c:pt idx="1">
                  <c:v>0</c:v>
                </c:pt>
                <c:pt idx="2">
                  <c:v>2</c:v>
                </c:pt>
                <c:pt idx="3">
                  <c:v>2</c:v>
                </c:pt>
                <c:pt idx="4">
                  <c:v>2</c:v>
                </c:pt>
                <c:pt idx="5">
                  <c:v>9</c:v>
                </c:pt>
                <c:pt idx="6">
                  <c:v>9</c:v>
                </c:pt>
                <c:pt idx="7">
                  <c:v>9</c:v>
                </c:pt>
                <c:pt idx="8">
                  <c:v>16.5</c:v>
                </c:pt>
                <c:pt idx="9">
                  <c:v>16.5</c:v>
                </c:pt>
                <c:pt idx="10">
                  <c:v>16.5</c:v>
                </c:pt>
                <c:pt idx="11">
                  <c:v>16.5</c:v>
                </c:pt>
                <c:pt idx="12">
                  <c:v>16.5</c:v>
                </c:pt>
                <c:pt idx="13">
                  <c:v>16.5</c:v>
                </c:pt>
                <c:pt idx="14">
                  <c:v>16.5</c:v>
                </c:pt>
                <c:pt idx="15">
                  <c:v>16.5</c:v>
                </c:pt>
                <c:pt idx="16">
                  <c:v>16.5</c:v>
                </c:pt>
                <c:pt idx="17">
                  <c:v>16.5</c:v>
                </c:pt>
                <c:pt idx="18">
                  <c:v>16.5</c:v>
                </c:pt>
              </c:numCache>
            </c:numRef>
          </c:xVal>
          <c:yVal>
            <c:numRef>
              <c:f>Graf!$C$14:$U$14</c:f>
              <c:numCache>
                <c:ptCount val="19"/>
                <c:pt idx="0">
                  <c:v>0</c:v>
                </c:pt>
                <c:pt idx="1">
                  <c:v>8.23369375</c:v>
                </c:pt>
                <c:pt idx="2">
                  <c:v>8.23369375</c:v>
                </c:pt>
                <c:pt idx="3">
                  <c:v>0</c:v>
                </c:pt>
                <c:pt idx="4">
                  <c:v>6.685066666666668</c:v>
                </c:pt>
                <c:pt idx="5">
                  <c:v>6.685066666666668</c:v>
                </c:pt>
                <c:pt idx="6">
                  <c:v>0</c:v>
                </c:pt>
                <c:pt idx="7">
                  <c:v>6.323320185185185</c:v>
                </c:pt>
                <c:pt idx="8">
                  <c:v>6.323320185185185</c:v>
                </c:pt>
                <c:pt idx="9">
                  <c:v>0</c:v>
                </c:pt>
                <c:pt idx="10">
                  <c:v>0</c:v>
                </c:pt>
                <c:pt idx="11">
                  <c:v>0</c:v>
                </c:pt>
                <c:pt idx="12">
                  <c:v>0</c:v>
                </c:pt>
                <c:pt idx="13">
                  <c:v>0</c:v>
                </c:pt>
                <c:pt idx="14">
                  <c:v>0</c:v>
                </c:pt>
                <c:pt idx="15">
                  <c:v>0</c:v>
                </c:pt>
                <c:pt idx="16">
                  <c:v>0</c:v>
                </c:pt>
                <c:pt idx="17">
                  <c:v>0</c:v>
                </c:pt>
                <c:pt idx="18">
                  <c:v>0</c:v>
                </c:pt>
              </c:numCache>
            </c:numRef>
          </c:yVal>
          <c:smooth val="0"/>
        </c:ser>
        <c:axId val="31082751"/>
        <c:axId val="11309304"/>
      </c:scatterChart>
      <c:valAx>
        <c:axId val="31082751"/>
        <c:scaling>
          <c:orientation val="minMax"/>
          <c:min val="-0.5"/>
        </c:scaling>
        <c:axPos val="b"/>
        <c:delete val="1"/>
        <c:majorTickMark val="out"/>
        <c:minorTickMark val="none"/>
        <c:tickLblPos val="nextTo"/>
        <c:crossAx val="11309304"/>
        <c:crosses val="autoZero"/>
        <c:crossBetween val="midCat"/>
        <c:dispUnits/>
      </c:valAx>
      <c:valAx>
        <c:axId val="11309304"/>
        <c:scaling>
          <c:orientation val="minMax"/>
        </c:scaling>
        <c:axPos val="l"/>
        <c:delete val="1"/>
        <c:majorTickMark val="out"/>
        <c:minorTickMark val="none"/>
        <c:tickLblPos val="nextTo"/>
        <c:crossAx val="31082751"/>
        <c:crosses val="autoZero"/>
        <c:crossBetween val="midCat"/>
        <c:dispUnits/>
      </c:valAx>
      <c:spPr>
        <a:noFill/>
        <a:ln>
          <a:noFill/>
        </a:ln>
      </c:spPr>
    </c:plotArea>
    <c:plotVisOnly val="1"/>
    <c:dispBlanksAs val="gap"/>
    <c:showDLblsOverMax val="0"/>
  </c:chart>
  <c:spPr>
    <a:solidFill>
      <a:srgbClr val="FFFFE5"/>
    </a:solidFill>
    <a:ln w="3175">
      <a:solidFill>
        <a:srgbClr val="993300"/>
      </a:solidFill>
    </a:ln>
  </c:spPr>
  <c:txPr>
    <a:bodyPr vert="horz" rot="0"/>
    <a:lstStyle/>
    <a:p>
      <a:pPr>
        <a:defRPr lang="en-US" cap="none" sz="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775"/>
          <c:y val="0.047"/>
          <c:w val="0.9435"/>
          <c:h val="0.953"/>
        </c:manualLayout>
      </c:layout>
      <c:scatterChart>
        <c:scatterStyle val="smooth"/>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(Graf!$C$22:$W$22,Graf!$C$37:$W$37,Graf!$C$52:$W$52,Graf!$C$67:$W$67,Graf!$C$89:$W$89,Graf!$C$104:$W$104)</c:f>
              <c:numCache>
                <c:ptCount val="126"/>
                <c:pt idx="0">
                  <c:v>0</c:v>
                </c:pt>
                <c:pt idx="1">
                  <c:v>0.08963585625000002</c:v>
                </c:pt>
                <c:pt idx="2">
                  <c:v>0.3585434250000001</c:v>
                </c:pt>
                <c:pt idx="3">
                  <c:v>0.8067227062500002</c:v>
                </c:pt>
                <c:pt idx="4">
                  <c:v>1.4341737000000003</c:v>
                </c:pt>
                <c:pt idx="5">
                  <c:v>2.24089640625</c:v>
                </c:pt>
                <c:pt idx="6">
                  <c:v>3.226890825</c:v>
                </c:pt>
                <c:pt idx="7">
                  <c:v>4.39215695625</c:v>
                </c:pt>
                <c:pt idx="8">
                  <c:v>5.7366947999999995</c:v>
                </c:pt>
                <c:pt idx="9">
                  <c:v>7.2605043562499985</c:v>
                </c:pt>
                <c:pt idx="10">
                  <c:v>8.963585624999999</c:v>
                </c:pt>
                <c:pt idx="11">
                  <c:v>10.845938606249998</c:v>
                </c:pt>
                <c:pt idx="12">
                  <c:v>12.9075633</c:v>
                </c:pt>
                <c:pt idx="13">
                  <c:v>15.148459706250001</c:v>
                </c:pt>
                <c:pt idx="14">
                  <c:v>17.568627825000004</c:v>
                </c:pt>
                <c:pt idx="15">
                  <c:v>20.16806765625001</c:v>
                </c:pt>
                <c:pt idx="16">
                  <c:v>22.94677920000001</c:v>
                </c:pt>
                <c:pt idx="17">
                  <c:v>25.904762456250015</c:v>
                </c:pt>
                <c:pt idx="18">
                  <c:v>29.042017425000015</c:v>
                </c:pt>
                <c:pt idx="19">
                  <c:v>32.35854410625002</c:v>
                </c:pt>
                <c:pt idx="20">
                  <c:v>35.8543425</c:v>
                </c:pt>
                <c:pt idx="21">
                  <c:v>35.8543425</c:v>
                </c:pt>
                <c:pt idx="22">
                  <c:v>16.87260138911894</c:v>
                </c:pt>
                <c:pt idx="23">
                  <c:v>-0.1786507884287829</c:v>
                </c:pt>
                <c:pt idx="24">
                  <c:v>-15.299414032643178</c:v>
                </c:pt>
                <c:pt idx="25">
                  <c:v>-28.489688343524236</c:v>
                </c:pt>
                <c:pt idx="26">
                  <c:v>-35.69947372107195</c:v>
                </c:pt>
                <c:pt idx="27">
                  <c:v>-40.30377016528632</c:v>
                </c:pt>
                <c:pt idx="28">
                  <c:v>-42.977577676167385</c:v>
                </c:pt>
                <c:pt idx="29">
                  <c:v>-43.7208962537151</c:v>
                </c:pt>
                <c:pt idx="30">
                  <c:v>-42.5337258979295</c:v>
                </c:pt>
                <c:pt idx="31">
                  <c:v>-39.41606660881057</c:v>
                </c:pt>
                <c:pt idx="32">
                  <c:v>-34.36791838635831</c:v>
                </c:pt>
                <c:pt idx="33">
                  <c:v>-27.389281230572735</c:v>
                </c:pt>
                <c:pt idx="34">
                  <c:v>-18.480155141453807</c:v>
                </c:pt>
                <c:pt idx="35">
                  <c:v>-7.640540119001585</c:v>
                </c:pt>
                <c:pt idx="36">
                  <c:v>5.1295638367840155</c:v>
                </c:pt>
                <c:pt idx="37">
                  <c:v>19.83015672590291</c:v>
                </c:pt>
                <c:pt idx="38">
                  <c:v>36.4612385483551</c:v>
                </c:pt>
                <c:pt idx="39">
                  <c:v>55.022809304140836</c:v>
                </c:pt>
                <c:pt idx="40">
                  <c:v>75.5148689932597</c:v>
                </c:pt>
                <c:pt idx="41">
                  <c:v>97.93741761571225</c:v>
                </c:pt>
                <c:pt idx="42">
                  <c:v>97.93741761571225</c:v>
                </c:pt>
                <c:pt idx="43">
                  <c:v>72.66396195107247</c:v>
                </c:pt>
                <c:pt idx="44">
                  <c:v>49.53540994789102</c:v>
                </c:pt>
                <c:pt idx="45">
                  <c:v>28.5517616061679</c:v>
                </c:pt>
                <c:pt idx="46">
                  <c:v>9.71301692590312</c:v>
                </c:pt>
                <c:pt idx="47">
                  <c:v>-6.980824092903319</c:v>
                </c:pt>
                <c:pt idx="48">
                  <c:v>-21.529761450251442</c:v>
                </c:pt>
                <c:pt idx="49">
                  <c:v>-33.933795146141236</c:v>
                </c:pt>
                <c:pt idx="50">
                  <c:v>-44.192925180572686</c:v>
                </c:pt>
                <c:pt idx="51">
                  <c:v>-52.30715155354575</c:v>
                </c:pt>
                <c:pt idx="52">
                  <c:v>-58.27647426506057</c:v>
                </c:pt>
                <c:pt idx="53">
                  <c:v>-62.100893315117005</c:v>
                </c:pt>
                <c:pt idx="54">
                  <c:v>-63.78040870371514</c:v>
                </c:pt>
                <c:pt idx="55">
                  <c:v>-63.31502043085489</c:v>
                </c:pt>
                <c:pt idx="56">
                  <c:v>-60.70472849653636</c:v>
                </c:pt>
                <c:pt idx="57">
                  <c:v>-55.94953290075945</c:v>
                </c:pt>
                <c:pt idx="58">
                  <c:v>-49.04943364352427</c:v>
                </c:pt>
                <c:pt idx="59">
                  <c:v>-40.0044307248307</c:v>
                </c:pt>
                <c:pt idx="60">
                  <c:v>-28.8145241446788</c:v>
                </c:pt>
                <c:pt idx="61">
                  <c:v>-15.479713903068571</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(Graf!$C$23:$W$23,Graf!$C$38:$W$38,Graf!$C$53:$W$53,Graf!$C$68:$W$68,Graf!$C$90:$W$90,Graf!$C$105:$W$105)</c:f>
              <c:numCache>
                <c:ptCount val="126"/>
                <c:pt idx="0">
                  <c:v>0</c:v>
                </c:pt>
                <c:pt idx="1">
                  <c:v>0.08963585625000002</c:v>
                </c:pt>
                <c:pt idx="2">
                  <c:v>0.3585434250000001</c:v>
                </c:pt>
                <c:pt idx="3">
                  <c:v>0.8067227062500002</c:v>
                </c:pt>
                <c:pt idx="4">
                  <c:v>1.4341737000000003</c:v>
                </c:pt>
                <c:pt idx="5">
                  <c:v>2.24089640625</c:v>
                </c:pt>
                <c:pt idx="6">
                  <c:v>3.226890825</c:v>
                </c:pt>
                <c:pt idx="7">
                  <c:v>4.39215695625</c:v>
                </c:pt>
                <c:pt idx="8">
                  <c:v>5.7366947999999995</c:v>
                </c:pt>
                <c:pt idx="9">
                  <c:v>7.2605043562499985</c:v>
                </c:pt>
                <c:pt idx="10">
                  <c:v>8.963585624999999</c:v>
                </c:pt>
                <c:pt idx="11">
                  <c:v>10.845938606249998</c:v>
                </c:pt>
                <c:pt idx="12">
                  <c:v>12.9075633</c:v>
                </c:pt>
                <c:pt idx="13">
                  <c:v>15.148459706250001</c:v>
                </c:pt>
                <c:pt idx="14">
                  <c:v>17.568627825000004</c:v>
                </c:pt>
                <c:pt idx="15">
                  <c:v>20.16806765625001</c:v>
                </c:pt>
                <c:pt idx="16">
                  <c:v>22.94677920000001</c:v>
                </c:pt>
                <c:pt idx="17">
                  <c:v>25.904762456250015</c:v>
                </c:pt>
                <c:pt idx="18">
                  <c:v>29.042017425000015</c:v>
                </c:pt>
                <c:pt idx="19">
                  <c:v>32.35854410625002</c:v>
                </c:pt>
                <c:pt idx="20">
                  <c:v>35.8543425</c:v>
                </c:pt>
                <c:pt idx="21">
                  <c:v>35.8543425</c:v>
                </c:pt>
                <c:pt idx="22">
                  <c:v>27.394706478692015</c:v>
                </c:pt>
                <c:pt idx="23">
                  <c:v>19.753991124050696</c:v>
                </c:pt>
                <c:pt idx="24">
                  <c:v>12.932196436076044</c:v>
                </c:pt>
                <c:pt idx="25">
                  <c:v>6.929322414768059</c:v>
                </c:pt>
                <c:pt idx="26">
                  <c:v>4.295369060126745</c:v>
                </c:pt>
                <c:pt idx="27">
                  <c:v>2.9053363721520924</c:v>
                </c:pt>
                <c:pt idx="28">
                  <c:v>2.334224350844117</c:v>
                </c:pt>
                <c:pt idx="29">
                  <c:v>2.5820329962027913</c:v>
                </c:pt>
                <c:pt idx="30">
                  <c:v>3.648762308228143</c:v>
                </c:pt>
                <c:pt idx="31">
                  <c:v>5.534412286920158</c:v>
                </c:pt>
                <c:pt idx="32">
                  <c:v>8.23898293227884</c:v>
                </c:pt>
                <c:pt idx="33">
                  <c:v>11.762474244304173</c:v>
                </c:pt>
                <c:pt idx="34">
                  <c:v>16.10488622299618</c:v>
                </c:pt>
                <c:pt idx="35">
                  <c:v>21.26621886835485</c:v>
                </c:pt>
                <c:pt idx="36">
                  <c:v>27.246472180380195</c:v>
                </c:pt>
                <c:pt idx="37">
                  <c:v>34.04564615907219</c:v>
                </c:pt>
                <c:pt idx="38">
                  <c:v>41.66374080443084</c:v>
                </c:pt>
                <c:pt idx="39">
                  <c:v>50.100756116456246</c:v>
                </c:pt>
                <c:pt idx="40">
                  <c:v>59.356692095148205</c:v>
                </c:pt>
                <c:pt idx="41">
                  <c:v>69.431548740507</c:v>
                </c:pt>
                <c:pt idx="42">
                  <c:v>69.431548740507</c:v>
                </c:pt>
                <c:pt idx="43">
                  <c:v>45.58338651962748</c:v>
                </c:pt>
                <c:pt idx="44">
                  <c:v>23.880127960206302</c:v>
                </c:pt>
                <c:pt idx="45">
                  <c:v>4.321773062243452</c:v>
                </c:pt>
                <c:pt idx="46">
                  <c:v>-13.091678174261062</c:v>
                </c:pt>
                <c:pt idx="47">
                  <c:v>-28.360225749307233</c:v>
                </c:pt>
                <c:pt idx="48">
                  <c:v>-41.48386966289509</c:v>
                </c:pt>
                <c:pt idx="49">
                  <c:v>-52.4626099150246</c:v>
                </c:pt>
                <c:pt idx="50">
                  <c:v>-61.2964465056958</c:v>
                </c:pt>
                <c:pt idx="51">
                  <c:v>-67.98537943490865</c:v>
                </c:pt>
                <c:pt idx="52">
                  <c:v>-72.52940870266315</c:v>
                </c:pt>
                <c:pt idx="53">
                  <c:v>-74.92853430895931</c:v>
                </c:pt>
                <c:pt idx="54">
                  <c:v>-75.18275625379718</c:v>
                </c:pt>
                <c:pt idx="55">
                  <c:v>-73.29207453717672</c:v>
                </c:pt>
                <c:pt idx="56">
                  <c:v>-69.25648915909787</c:v>
                </c:pt>
                <c:pt idx="57">
                  <c:v>-63.07600011956069</c:v>
                </c:pt>
                <c:pt idx="58">
                  <c:v>-54.75060741856524</c:v>
                </c:pt>
                <c:pt idx="59">
                  <c:v>-44.28031105611146</c:v>
                </c:pt>
                <c:pt idx="60">
                  <c:v>-31.66511103219929</c:v>
                </c:pt>
                <c:pt idx="61">
                  <c:v>-16.90500734682874</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(Graf!$C$24:$W$24,Graf!$C$39:$W$39,Graf!$C$54:$W$54,Graf!$C$69:$W$69,Graf!$C$91:$W$91,Graf!$C$106:$W$106)</c:f>
              <c:numCache>
                <c:ptCount val="126"/>
                <c:pt idx="0">
                  <c:v>0</c:v>
                </c:pt>
                <c:pt idx="1">
                  <c:v>0.04116846875000001</c:v>
                </c:pt>
                <c:pt idx="2">
                  <c:v>0.16467387500000005</c:v>
                </c:pt>
                <c:pt idx="3">
                  <c:v>0.3705162187500001</c:v>
                </c:pt>
                <c:pt idx="4">
                  <c:v>0.6586955000000002</c:v>
                </c:pt>
                <c:pt idx="5">
                  <c:v>1.02921171875</c:v>
                </c:pt>
                <c:pt idx="6">
                  <c:v>1.482064875</c:v>
                </c:pt>
                <c:pt idx="7">
                  <c:v>2.0172549687499997</c:v>
                </c:pt>
                <c:pt idx="8">
                  <c:v>2.634782</c:v>
                </c:pt>
                <c:pt idx="9">
                  <c:v>3.3346459687499994</c:v>
                </c:pt>
                <c:pt idx="10">
                  <c:v>4.116846874999999</c:v>
                </c:pt>
                <c:pt idx="11">
                  <c:v>4.981384718749999</c:v>
                </c:pt>
                <c:pt idx="12">
                  <c:v>5.9282595</c:v>
                </c:pt>
                <c:pt idx="13">
                  <c:v>6.957471218750001</c:v>
                </c:pt>
                <c:pt idx="14">
                  <c:v>8.069019875000002</c:v>
                </c:pt>
                <c:pt idx="15">
                  <c:v>9.262905468750004</c:v>
                </c:pt>
                <c:pt idx="16">
                  <c:v>10.539128000000005</c:v>
                </c:pt>
                <c:pt idx="17">
                  <c:v>11.897687468750007</c:v>
                </c:pt>
                <c:pt idx="18">
                  <c:v>13.338583875000007</c:v>
                </c:pt>
                <c:pt idx="19">
                  <c:v>14.861817218750009</c:v>
                </c:pt>
                <c:pt idx="20">
                  <c:v>16.4673875</c:v>
                </c:pt>
                <c:pt idx="21">
                  <c:v>16.4673875</c:v>
                </c:pt>
                <c:pt idx="22">
                  <c:v>-2.934758249350889</c:v>
                </c:pt>
                <c:pt idx="23">
                  <c:v>-20.40641506536845</c:v>
                </c:pt>
                <c:pt idx="24">
                  <c:v>-35.94758294805266</c:v>
                </c:pt>
                <c:pt idx="25">
                  <c:v>-49.558261897403554</c:v>
                </c:pt>
                <c:pt idx="26">
                  <c:v>-57.18845191342109</c:v>
                </c:pt>
                <c:pt idx="27">
                  <c:v>-62.21315299610529</c:v>
                </c:pt>
                <c:pt idx="28">
                  <c:v>-65.3073651454562</c:v>
                </c:pt>
                <c:pt idx="29">
                  <c:v>-66.47108836147373</c:v>
                </c:pt>
                <c:pt idx="30">
                  <c:v>-65.70432264415795</c:v>
                </c:pt>
                <c:pt idx="31">
                  <c:v>-63.00706799350887</c:v>
                </c:pt>
                <c:pt idx="32">
                  <c:v>-58.37932440952643</c:v>
                </c:pt>
                <c:pt idx="33">
                  <c:v>-51.821091892210674</c:v>
                </c:pt>
                <c:pt idx="34">
                  <c:v>-43.332370441561594</c:v>
                </c:pt>
                <c:pt idx="35">
                  <c:v>-32.91316005757916</c:v>
                </c:pt>
                <c:pt idx="36">
                  <c:v>-20.56346074026341</c:v>
                </c:pt>
                <c:pt idx="37">
                  <c:v>-6.283272489614305</c:v>
                </c:pt>
                <c:pt idx="38">
                  <c:v>9.927404694368036</c:v>
                </c:pt>
                <c:pt idx="39">
                  <c:v>28.068570811683927</c:v>
                </c:pt>
                <c:pt idx="40">
                  <c:v>48.14022586233294</c:v>
                </c:pt>
                <c:pt idx="41">
                  <c:v>70.14236984631569</c:v>
                </c:pt>
                <c:pt idx="42">
                  <c:v>70.14236984631569</c:v>
                </c:pt>
                <c:pt idx="43">
                  <c:v>58.18769079410407</c:v>
                </c:pt>
                <c:pt idx="44">
                  <c:v>47.12222864293412</c:v>
                </c:pt>
                <c:pt idx="45">
                  <c:v>36.945983392805836</c:v>
                </c:pt>
                <c:pt idx="46">
                  <c:v>27.658955043719217</c:v>
                </c:pt>
                <c:pt idx="47">
                  <c:v>19.26114359567427</c:v>
                </c:pt>
                <c:pt idx="48">
                  <c:v>11.752549048670986</c:v>
                </c:pt>
                <c:pt idx="49">
                  <c:v>5.133171402709365</c:v>
                </c:pt>
                <c:pt idx="50">
                  <c:v>-0.596989342210577</c:v>
                </c:pt>
                <c:pt idx="51">
                  <c:v>-5.437933186088856</c:v>
                </c:pt>
                <c:pt idx="52">
                  <c:v>-9.38966012892547</c:v>
                </c:pt>
                <c:pt idx="53">
                  <c:v>-12.45217017072045</c:v>
                </c:pt>
                <c:pt idx="54">
                  <c:v>-14.625463311473723</c:v>
                </c:pt>
                <c:pt idx="55">
                  <c:v>-15.909539551185347</c:v>
                </c:pt>
                <c:pt idx="56">
                  <c:v>-16.304398889855293</c:v>
                </c:pt>
                <c:pt idx="57">
                  <c:v>-15.810041327483574</c:v>
                </c:pt>
                <c:pt idx="58">
                  <c:v>-14.426466864070193</c:v>
                </c:pt>
                <c:pt idx="59">
                  <c:v>-12.153675499615133</c:v>
                </c:pt>
                <c:pt idx="60">
                  <c:v>-8.99166723411841</c:v>
                </c:pt>
                <c:pt idx="61">
                  <c:v>-4.9404420675800225</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(Graf!$C$25:$W$25,Graf!$C$40:$W$40,Graf!$C$55:$W$55,Graf!$C$70:$W$70,Graf!$C$92:$W$92,Graf!$C$107:$W$107)</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4"/>
          <c:order val="4"/>
          <c:tx>
            <c:v>grids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Graf!$C$131:$S$131</c:f>
              <c:numCache>
                <c:ptCount val="17"/>
                <c:pt idx="0">
                  <c:v>2.0000000000000004</c:v>
                </c:pt>
                <c:pt idx="1">
                  <c:v>2.0000000000000004</c:v>
                </c:pt>
                <c:pt idx="3">
                  <c:v>8.999999999999996</c:v>
                </c:pt>
                <c:pt idx="4">
                  <c:v>8.999999999999996</c:v>
                </c:pt>
                <c:pt idx="6">
                  <c:v>16.499999999999996</c:v>
                </c:pt>
                <c:pt idx="7">
                  <c:v>16.499999999999996</c:v>
                </c:pt>
                <c:pt idx="9">
                  <c:v>16.499999999999996</c:v>
                </c:pt>
                <c:pt idx="10">
                  <c:v>16.499999999999996</c:v>
                </c:pt>
                <c:pt idx="12">
                  <c:v>16.499999999999996</c:v>
                </c:pt>
                <c:pt idx="13">
                  <c:v>16.499999999999996</c:v>
                </c:pt>
                <c:pt idx="15">
                  <c:v>16.499999999999996</c:v>
                </c:pt>
                <c:pt idx="16">
                  <c:v>16.499999999999996</c:v>
                </c:pt>
              </c:numCache>
            </c:numRef>
          </c:xVal>
          <c:yVal>
            <c:numRef>
              <c:f>Graf!$C$132:$S$132</c:f>
              <c:numCache>
                <c:ptCount val="17"/>
                <c:pt idx="0">
                  <c:v>-75.33882390340682</c:v>
                </c:pt>
                <c:pt idx="1">
                  <c:v>97.93741761571225</c:v>
                </c:pt>
                <c:pt idx="3">
                  <c:v>-75.33882390340682</c:v>
                </c:pt>
                <c:pt idx="4">
                  <c:v>97.93741761571225</c:v>
                </c:pt>
                <c:pt idx="6">
                  <c:v>-75.33882390340682</c:v>
                </c:pt>
                <c:pt idx="7">
                  <c:v>97.93741761571225</c:v>
                </c:pt>
                <c:pt idx="9">
                  <c:v>-75.33882390340682</c:v>
                </c:pt>
                <c:pt idx="10">
                  <c:v>97.93741761571225</c:v>
                </c:pt>
                <c:pt idx="12">
                  <c:v>-75.33882390340682</c:v>
                </c:pt>
                <c:pt idx="13">
                  <c:v>97.93741761571225</c:v>
                </c:pt>
                <c:pt idx="15">
                  <c:v>-75.33882390340682</c:v>
                </c:pt>
                <c:pt idx="16">
                  <c:v>97.93741761571225</c:v>
                </c:pt>
              </c:numCache>
            </c:numRef>
          </c:yVal>
          <c:smooth val="1"/>
        </c:ser>
        <c:axId val="34674873"/>
        <c:axId val="43638402"/>
      </c:scatterChart>
      <c:valAx>
        <c:axId val="34674873"/>
        <c:scaling>
          <c:orientation val="minMax"/>
        </c:scaling>
        <c:axPos val="b"/>
        <c:majorGridlines>
          <c:spPr>
            <a:ln w="3175">
              <a:solidFill>
                <a:srgbClr val="969696"/>
              </a:solidFill>
              <a:prstDash val="sysDot"/>
            </a:ln>
          </c:spPr>
        </c:majorGridlines>
        <c:delete val="0"/>
        <c:numFmt formatCode="General" sourceLinked="1"/>
        <c:majorTickMark val="none"/>
        <c:minorTickMark val="none"/>
        <c:tickLblPos val="low"/>
        <c:spPr>
          <a:ln w="3175">
            <a:noFill/>
          </a:ln>
        </c:spPr>
        <c:txPr>
          <a:bodyPr/>
          <a:lstStyle/>
          <a:p>
            <a:pPr>
              <a:defRPr lang="en-US" cap="none" sz="800" b="0" i="0" u="none" baseline="0"/>
            </a:pPr>
          </a:p>
        </c:txPr>
        <c:crossAx val="43638402"/>
        <c:crosses val="autoZero"/>
        <c:crossBetween val="midCat"/>
        <c:dispUnits/>
      </c:valAx>
      <c:valAx>
        <c:axId val="43638402"/>
        <c:scaling>
          <c:orientation val="minMax"/>
        </c:scaling>
        <c:axPos val="l"/>
        <c:majorGridlines>
          <c:spPr>
            <a:ln w="3175">
              <a:solidFill>
                <a:srgbClr val="969696"/>
              </a:solidFill>
              <a:prstDash val="sysDot"/>
            </a:ln>
          </c:spPr>
        </c:majorGridlines>
        <c:delete val="0"/>
        <c:numFmt formatCode="General" sourceLinked="1"/>
        <c:majorTickMark val="none"/>
        <c:minorTickMark val="none"/>
        <c:tickLblPos val="nextTo"/>
        <c:spPr>
          <a:ln w="3175">
            <a:noFill/>
          </a:ln>
        </c:spPr>
        <c:txPr>
          <a:bodyPr/>
          <a:lstStyle/>
          <a:p>
            <a:pPr>
              <a:defRPr lang="en-US" cap="none" sz="800" b="0" i="0" u="none" baseline="0"/>
            </a:pPr>
          </a:p>
        </c:txPr>
        <c:crossAx val="34674873"/>
        <c:crosses val="autoZero"/>
        <c:crossBetween val="midCat"/>
        <c:dispUnits/>
      </c:valAx>
      <c:spPr>
        <a:solidFill>
          <a:srgbClr val="EAEAEA"/>
        </a:solidFill>
        <a:ln w="3175">
          <a:solidFill>
            <a:srgbClr val="3366FF"/>
          </a:solidFill>
        </a:ln>
      </c:spPr>
    </c:plotArea>
    <c:plotVisOnly val="1"/>
    <c:dispBlanksAs val="gap"/>
    <c:showDLblsOverMax val="0"/>
  </c:chart>
  <c:spPr>
    <a:solidFill>
      <a:srgbClr val="FFFFE5"/>
    </a:solidFill>
    <a:ln w="3175">
      <a:solidFill>
        <a:srgbClr val="9933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825"/>
          <c:y val="0.063"/>
          <c:w val="0.92425"/>
          <c:h val="0.92125"/>
        </c:manualLayout>
      </c:layout>
      <c:scatterChart>
        <c:scatterStyle val="smooth"/>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(Graf!$C$31:$W$31,Graf!$C$46:$W$46,Graf!$C$61:$W$61,Graf!$C$76:$W$76,Graf!$C$98:$W$98,Graf!$C$113:$W$113)</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-2.4086904755035192</c:v>
                </c:pt>
                <c:pt idx="23">
                  <c:v>-19.354279517673703</c:v>
                </c:pt>
                <c:pt idx="24">
                  <c:v>-34.36937962651056</c:v>
                </c:pt>
                <c:pt idx="25">
                  <c:v>-47.453990802014076</c:v>
                </c:pt>
                <c:pt idx="26">
                  <c:v>-54.55811304418424</c:v>
                </c:pt>
                <c:pt idx="27">
                  <c:v>-59.05674635302108</c:v>
                </c:pt>
                <c:pt idx="28">
                  <c:v>-61.624890728524605</c:v>
                </c:pt>
                <c:pt idx="29">
                  <c:v>-62.262546170694776</c:v>
                </c:pt>
                <c:pt idx="30">
                  <c:v>-60.96971267953164</c:v>
                </c:pt>
                <c:pt idx="31">
                  <c:v>-57.746390255035166</c:v>
                </c:pt>
                <c:pt idx="32">
                  <c:v>-52.59257889720537</c:v>
                </c:pt>
                <c:pt idx="33">
                  <c:v>-45.50827860604225</c:v>
                </c:pt>
                <c:pt idx="34">
                  <c:v>-36.493489381545785</c:v>
                </c:pt>
                <c:pt idx="35">
                  <c:v>-25.548211223716024</c:v>
                </c:pt>
                <c:pt idx="36">
                  <c:v>-14.394422518184385</c:v>
                </c:pt>
                <c:pt idx="37">
                  <c:v>-4.398290742730013</c:v>
                </c:pt>
                <c:pt idx="38">
                  <c:v>0</c:v>
                </c:pt>
                <c:pt idx="39">
                  <c:v>0</c:v>
                </c:pt>
                <c:pt idx="40">
                  <c:v>0</c:v>
                </c:pt>
                <c:pt idx="41">
                  <c:v>0</c:v>
                </c:pt>
                <c:pt idx="42">
                  <c:v>0</c:v>
                </c:pt>
                <c:pt idx="43">
                  <c:v>0</c:v>
                </c:pt>
                <c:pt idx="44">
                  <c:v>0</c:v>
                </c:pt>
                <c:pt idx="45">
                  <c:v>0</c:v>
                </c:pt>
                <c:pt idx="46">
                  <c:v>-9.164174721982743</c:v>
                </c:pt>
                <c:pt idx="47">
                  <c:v>-20.54917651600023</c:v>
                </c:pt>
                <c:pt idx="48">
                  <c:v>-34.193557045141915</c:v>
                </c:pt>
                <c:pt idx="49">
                  <c:v>-45.69303391282523</c:v>
                </c:pt>
                <c:pt idx="50">
                  <c:v>-55.04760711905023</c:v>
                </c:pt>
                <c:pt idx="51">
                  <c:v>-62.25727666381688</c:v>
                </c:pt>
                <c:pt idx="52">
                  <c:v>-67.32204254712518</c:v>
                </c:pt>
                <c:pt idx="53">
                  <c:v>-70.2419047689752</c:v>
                </c:pt>
                <c:pt idx="54">
                  <c:v>-71.01686332936687</c:v>
                </c:pt>
                <c:pt idx="55">
                  <c:v>-69.64691822830015</c:v>
                </c:pt>
                <c:pt idx="56">
                  <c:v>-66.13206946577516</c:v>
                </c:pt>
                <c:pt idx="57">
                  <c:v>-60.47231704179178</c:v>
                </c:pt>
                <c:pt idx="58">
                  <c:v>-52.66766095635013</c:v>
                </c:pt>
                <c:pt idx="59">
                  <c:v>-42.718101209450154</c:v>
                </c:pt>
                <c:pt idx="60">
                  <c:v>-30.62363780109179</c:v>
                </c:pt>
                <c:pt idx="61">
                  <c:v>-16.384270731275095</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(Graf!$C$32:$W$32,Graf!$C$47:$W$47,Graf!$C$62:$W$62,Graf!$C$77:$W$77,Graf!$C$99:$W$99,Graf!$C$114:$W$114)</c:f>
              <c:numCache>
                <c:ptCount val="126"/>
                <c:pt idx="0">
                  <c:v>0</c:v>
                </c:pt>
                <c:pt idx="1">
                  <c:v>0.08963585625000002</c:v>
                </c:pt>
                <c:pt idx="2">
                  <c:v>0.3585434250000001</c:v>
                </c:pt>
                <c:pt idx="3">
                  <c:v>0.8067227062500002</c:v>
                </c:pt>
                <c:pt idx="4">
                  <c:v>1.4341737000000003</c:v>
                </c:pt>
                <c:pt idx="5">
                  <c:v>2.24089640625</c:v>
                </c:pt>
                <c:pt idx="6">
                  <c:v>3.226890825</c:v>
                </c:pt>
                <c:pt idx="7">
                  <c:v>4.39215695625</c:v>
                </c:pt>
                <c:pt idx="8">
                  <c:v>5.7366947999999995</c:v>
                </c:pt>
                <c:pt idx="9">
                  <c:v>7.2605043562499985</c:v>
                </c:pt>
                <c:pt idx="10">
                  <c:v>8.963585624999999</c:v>
                </c:pt>
                <c:pt idx="11">
                  <c:v>10.845938606249998</c:v>
                </c:pt>
                <c:pt idx="12">
                  <c:v>12.9075633</c:v>
                </c:pt>
                <c:pt idx="13">
                  <c:v>15.148459706250001</c:v>
                </c:pt>
                <c:pt idx="14">
                  <c:v>17.568627825000004</c:v>
                </c:pt>
                <c:pt idx="15">
                  <c:v>20.16806765625001</c:v>
                </c:pt>
                <c:pt idx="16">
                  <c:v>22.94677920000001</c:v>
                </c:pt>
                <c:pt idx="17">
                  <c:v>25.904762456250015</c:v>
                </c:pt>
                <c:pt idx="18">
                  <c:v>29.042017425000015</c:v>
                </c:pt>
                <c:pt idx="19">
                  <c:v>32.35854410625002</c:v>
                </c:pt>
                <c:pt idx="20">
                  <c:v>35.8543425</c:v>
                </c:pt>
                <c:pt idx="21">
                  <c:v>35.8543425</c:v>
                </c:pt>
                <c:pt idx="22">
                  <c:v>27.915443094245816</c:v>
                </c:pt>
                <c:pt idx="23">
                  <c:v>20.7954643551583</c:v>
                </c:pt>
                <c:pt idx="24">
                  <c:v>14.494406282737451</c:v>
                </c:pt>
                <c:pt idx="25">
                  <c:v>9.012268876983264</c:v>
                </c:pt>
                <c:pt idx="26">
                  <c:v>6.899052137895758</c:v>
                </c:pt>
                <c:pt idx="27">
                  <c:v>6.029756065474903</c:v>
                </c:pt>
                <c:pt idx="28">
                  <c:v>5.979380659720725</c:v>
                </c:pt>
                <c:pt idx="29">
                  <c:v>6.7479259206332145</c:v>
                </c:pt>
                <c:pt idx="30">
                  <c:v>8.335391848212357</c:v>
                </c:pt>
                <c:pt idx="31">
                  <c:v>10.74177844245817</c:v>
                </c:pt>
                <c:pt idx="32">
                  <c:v>13.967085703370653</c:v>
                </c:pt>
                <c:pt idx="33">
                  <c:v>18.011313630949786</c:v>
                </c:pt>
                <c:pt idx="34">
                  <c:v>22.874462225195593</c:v>
                </c:pt>
                <c:pt idx="35">
                  <c:v>28.556531486108067</c:v>
                </c:pt>
                <c:pt idx="36">
                  <c:v>35.05752141368721</c:v>
                </c:pt>
                <c:pt idx="37">
                  <c:v>42.37743200793301</c:v>
                </c:pt>
                <c:pt idx="38">
                  <c:v>50.51626326884546</c:v>
                </c:pt>
                <c:pt idx="39">
                  <c:v>59.474015196424666</c:v>
                </c:pt>
                <c:pt idx="40">
                  <c:v>69.25068779067043</c:v>
                </c:pt>
                <c:pt idx="41">
                  <c:v>83.24680497335541</c:v>
                </c:pt>
                <c:pt idx="42">
                  <c:v>83.24680497335541</c:v>
                </c:pt>
                <c:pt idx="43">
                  <c:v>68.18297849720405</c:v>
                </c:pt>
                <c:pt idx="44">
                  <c:v>56.591448572186735</c:v>
                </c:pt>
                <c:pt idx="45">
                  <c:v>45.88913554821108</c:v>
                </c:pt>
                <c:pt idx="46">
                  <c:v>36.07603942527709</c:v>
                </c:pt>
                <c:pt idx="47">
                  <c:v>27.152160203384774</c:v>
                </c:pt>
                <c:pt idx="48">
                  <c:v>19.117497882534124</c:v>
                </c:pt>
                <c:pt idx="49">
                  <c:v>11.97205246272513</c:v>
                </c:pt>
                <c:pt idx="50">
                  <c:v>5.715823943957815</c:v>
                </c:pt>
                <c:pt idx="51">
                  <c:v>0.3488123262321494</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(Graf!$C$21:$W$21,Graf!$C$36:$W$36,Graf!$C$51:$W$51,Graf!$C$66:$W$66,Graf!$C$88:$W$88,Graf!$C$103:$W$103)</c:f>
              <c:numCache>
                <c:ptCount val="126"/>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2.0000000000000004</c:v>
                </c:pt>
                <c:pt idx="22">
                  <c:v>2.3500000000000005</c:v>
                </c:pt>
                <c:pt idx="23">
                  <c:v>2.7000000000000006</c:v>
                </c:pt>
                <c:pt idx="24">
                  <c:v>3.0500000000000007</c:v>
                </c:pt>
                <c:pt idx="25">
                  <c:v>3.400000000000001</c:v>
                </c:pt>
                <c:pt idx="26">
                  <c:v>3.750000000000001</c:v>
                </c:pt>
                <c:pt idx="27">
                  <c:v>4.1000000000000005</c:v>
                </c:pt>
                <c:pt idx="28">
                  <c:v>4.45</c:v>
                </c:pt>
                <c:pt idx="29">
                  <c:v>4.8</c:v>
                </c:pt>
                <c:pt idx="30">
                  <c:v>5.1499999999999995</c:v>
                </c:pt>
                <c:pt idx="31">
                  <c:v>5.499999999999999</c:v>
                </c:pt>
                <c:pt idx="32">
                  <c:v>5.849999999999999</c:v>
                </c:pt>
                <c:pt idx="33">
                  <c:v>6.199999999999998</c:v>
                </c:pt>
                <c:pt idx="34">
                  <c:v>6.549999999999998</c:v>
                </c:pt>
                <c:pt idx="35">
                  <c:v>6.899999999999998</c:v>
                </c:pt>
                <c:pt idx="36">
                  <c:v>7.249999999999997</c:v>
                </c:pt>
                <c:pt idx="37">
                  <c:v>7.599999999999997</c:v>
                </c:pt>
                <c:pt idx="38">
                  <c:v>7.949999999999997</c:v>
                </c:pt>
                <c:pt idx="39">
                  <c:v>8.299999999999997</c:v>
                </c:pt>
                <c:pt idx="40">
                  <c:v>8.649999999999997</c:v>
                </c:pt>
                <c:pt idx="41">
                  <c:v>8.999999999999996</c:v>
                </c:pt>
                <c:pt idx="42">
                  <c:v>8.999999999999996</c:v>
                </c:pt>
                <c:pt idx="43">
                  <c:v>9.374999999999996</c:v>
                </c:pt>
                <c:pt idx="44">
                  <c:v>9.749999999999996</c:v>
                </c:pt>
                <c:pt idx="45">
                  <c:v>10.124999999999996</c:v>
                </c:pt>
                <c:pt idx="46">
                  <c:v>10.499999999999996</c:v>
                </c:pt>
                <c:pt idx="47">
                  <c:v>10.874999999999996</c:v>
                </c:pt>
                <c:pt idx="48">
                  <c:v>11.249999999999996</c:v>
                </c:pt>
                <c:pt idx="49">
                  <c:v>11.624999999999996</c:v>
                </c:pt>
                <c:pt idx="50">
                  <c:v>11.999999999999996</c:v>
                </c:pt>
                <c:pt idx="51">
                  <c:v>12.374999999999996</c:v>
                </c:pt>
                <c:pt idx="52">
                  <c:v>12.749999999999996</c:v>
                </c:pt>
                <c:pt idx="53">
                  <c:v>13.124999999999996</c:v>
                </c:pt>
                <c:pt idx="54">
                  <c:v>13.499999999999996</c:v>
                </c:pt>
                <c:pt idx="55">
                  <c:v>13.874999999999996</c:v>
                </c:pt>
                <c:pt idx="56">
                  <c:v>14.249999999999996</c:v>
                </c:pt>
                <c:pt idx="57">
                  <c:v>14.624999999999996</c:v>
                </c:pt>
                <c:pt idx="58">
                  <c:v>14.999999999999996</c:v>
                </c:pt>
                <c:pt idx="59">
                  <c:v>15.374999999999996</c:v>
                </c:pt>
                <c:pt idx="60">
                  <c:v>15.749999999999996</c:v>
                </c:pt>
                <c:pt idx="61">
                  <c:v>16.124999999999996</c:v>
                </c:pt>
                <c:pt idx="62">
                  <c:v>16.499999999999996</c:v>
                </c:pt>
                <c:pt idx="63">
                  <c:v>16.499999999999996</c:v>
                </c:pt>
                <c:pt idx="64">
                  <c:v>16.499999999999996</c:v>
                </c:pt>
                <c:pt idx="65">
                  <c:v>16.499999999999996</c:v>
                </c:pt>
                <c:pt idx="66">
                  <c:v>16.499999999999996</c:v>
                </c:pt>
                <c:pt idx="67">
                  <c:v>16.499999999999996</c:v>
                </c:pt>
                <c:pt idx="68">
                  <c:v>16.499999999999996</c:v>
                </c:pt>
                <c:pt idx="69">
                  <c:v>16.499999999999996</c:v>
                </c:pt>
                <c:pt idx="70">
                  <c:v>16.499999999999996</c:v>
                </c:pt>
                <c:pt idx="71">
                  <c:v>16.499999999999996</c:v>
                </c:pt>
                <c:pt idx="72">
                  <c:v>16.499999999999996</c:v>
                </c:pt>
                <c:pt idx="73">
                  <c:v>16.499999999999996</c:v>
                </c:pt>
                <c:pt idx="74">
                  <c:v>16.499999999999996</c:v>
                </c:pt>
                <c:pt idx="75">
                  <c:v>16.499999999999996</c:v>
                </c:pt>
                <c:pt idx="76">
                  <c:v>16.499999999999996</c:v>
                </c:pt>
                <c:pt idx="77">
                  <c:v>16.499999999999996</c:v>
                </c:pt>
                <c:pt idx="78">
                  <c:v>16.499999999999996</c:v>
                </c:pt>
                <c:pt idx="79">
                  <c:v>16.499999999999996</c:v>
                </c:pt>
                <c:pt idx="80">
                  <c:v>16.499999999999996</c:v>
                </c:pt>
                <c:pt idx="81">
                  <c:v>16.499999999999996</c:v>
                </c:pt>
                <c:pt idx="82">
                  <c:v>16.499999999999996</c:v>
                </c:pt>
                <c:pt idx="83">
                  <c:v>16.499999999999996</c:v>
                </c:pt>
                <c:pt idx="84">
                  <c:v>16.499999999999996</c:v>
                </c:pt>
                <c:pt idx="85">
                  <c:v>16.499999999999996</c:v>
                </c:pt>
                <c:pt idx="86">
                  <c:v>16.499999999999996</c:v>
                </c:pt>
                <c:pt idx="87">
                  <c:v>16.499999999999996</c:v>
                </c:pt>
                <c:pt idx="88">
                  <c:v>16.499999999999996</c:v>
                </c:pt>
                <c:pt idx="89">
                  <c:v>16.499999999999996</c:v>
                </c:pt>
                <c:pt idx="90">
                  <c:v>16.499999999999996</c:v>
                </c:pt>
                <c:pt idx="91">
                  <c:v>16.499999999999996</c:v>
                </c:pt>
                <c:pt idx="92">
                  <c:v>16.499999999999996</c:v>
                </c:pt>
                <c:pt idx="93">
                  <c:v>16.499999999999996</c:v>
                </c:pt>
                <c:pt idx="94">
                  <c:v>16.499999999999996</c:v>
                </c:pt>
                <c:pt idx="95">
                  <c:v>16.499999999999996</c:v>
                </c:pt>
                <c:pt idx="96">
                  <c:v>16.499999999999996</c:v>
                </c:pt>
                <c:pt idx="97">
                  <c:v>16.499999999999996</c:v>
                </c:pt>
                <c:pt idx="98">
                  <c:v>16.499999999999996</c:v>
                </c:pt>
                <c:pt idx="99">
                  <c:v>16.499999999999996</c:v>
                </c:pt>
                <c:pt idx="100">
                  <c:v>16.499999999999996</c:v>
                </c:pt>
                <c:pt idx="101">
                  <c:v>16.499999999999996</c:v>
                </c:pt>
                <c:pt idx="102">
                  <c:v>16.499999999999996</c:v>
                </c:pt>
                <c:pt idx="103">
                  <c:v>16.499999999999996</c:v>
                </c:pt>
                <c:pt idx="104">
                  <c:v>16.499999999999996</c:v>
                </c:pt>
                <c:pt idx="105">
                  <c:v>16.499999999999996</c:v>
                </c:pt>
                <c:pt idx="106">
                  <c:v>16.499999999999996</c:v>
                </c:pt>
                <c:pt idx="107">
                  <c:v>16.499999999999996</c:v>
                </c:pt>
                <c:pt idx="108">
                  <c:v>16.499999999999996</c:v>
                </c:pt>
                <c:pt idx="109">
                  <c:v>16.499999999999996</c:v>
                </c:pt>
                <c:pt idx="110">
                  <c:v>16.499999999999996</c:v>
                </c:pt>
                <c:pt idx="111">
                  <c:v>16.499999999999996</c:v>
                </c:pt>
                <c:pt idx="112">
                  <c:v>16.499999999999996</c:v>
                </c:pt>
                <c:pt idx="113">
                  <c:v>16.499999999999996</c:v>
                </c:pt>
                <c:pt idx="114">
                  <c:v>16.499999999999996</c:v>
                </c:pt>
                <c:pt idx="115">
                  <c:v>16.499999999999996</c:v>
                </c:pt>
                <c:pt idx="116">
                  <c:v>16.499999999999996</c:v>
                </c:pt>
                <c:pt idx="117">
                  <c:v>16.499999999999996</c:v>
                </c:pt>
                <c:pt idx="118">
                  <c:v>16.499999999999996</c:v>
                </c:pt>
                <c:pt idx="119">
                  <c:v>16.499999999999996</c:v>
                </c:pt>
                <c:pt idx="120">
                  <c:v>16.499999999999996</c:v>
                </c:pt>
                <c:pt idx="121">
                  <c:v>16.499999999999996</c:v>
                </c:pt>
                <c:pt idx="122">
                  <c:v>16.499999999999996</c:v>
                </c:pt>
                <c:pt idx="123">
                  <c:v>16.499999999999996</c:v>
                </c:pt>
                <c:pt idx="124">
                  <c:v>16.499999999999996</c:v>
                </c:pt>
                <c:pt idx="125">
                  <c:v>16.499999999999996</c:v>
                </c:pt>
              </c:numCache>
            </c:numRef>
          </c:xVal>
          <c:yVal>
            <c:numRef>
              <c:f>(Graf!$C$33:$W$33,Graf!$C$48:$W$48,Graf!$C$63:$W$63,Graf!$C$78:$W$78,Graf!$C$100:$W$100,Graf!$C$115:$W$115)</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3"/>
          <c:order val="3"/>
          <c:tx>
            <c:v>grids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Graf!$C$131:$S$131</c:f>
              <c:numCache>
                <c:ptCount val="17"/>
                <c:pt idx="0">
                  <c:v>2.0000000000000004</c:v>
                </c:pt>
                <c:pt idx="1">
                  <c:v>2.0000000000000004</c:v>
                </c:pt>
                <c:pt idx="3">
                  <c:v>8.999999999999996</c:v>
                </c:pt>
                <c:pt idx="4">
                  <c:v>8.999999999999996</c:v>
                </c:pt>
                <c:pt idx="6">
                  <c:v>16.499999999999996</c:v>
                </c:pt>
                <c:pt idx="7">
                  <c:v>16.499999999999996</c:v>
                </c:pt>
                <c:pt idx="9">
                  <c:v>16.499999999999996</c:v>
                </c:pt>
                <c:pt idx="10">
                  <c:v>16.499999999999996</c:v>
                </c:pt>
                <c:pt idx="12">
                  <c:v>16.499999999999996</c:v>
                </c:pt>
                <c:pt idx="13">
                  <c:v>16.499999999999996</c:v>
                </c:pt>
                <c:pt idx="15">
                  <c:v>16.499999999999996</c:v>
                </c:pt>
                <c:pt idx="16">
                  <c:v>16.499999999999996</c:v>
                </c:pt>
              </c:numCache>
            </c:numRef>
          </c:xVal>
          <c:yVal>
            <c:numRef>
              <c:f>Graf!$C$132:$S$132</c:f>
              <c:numCache>
                <c:ptCount val="17"/>
                <c:pt idx="0">
                  <c:v>-75.33882390340682</c:v>
                </c:pt>
                <c:pt idx="1">
                  <c:v>97.93741761571225</c:v>
                </c:pt>
                <c:pt idx="3">
                  <c:v>-75.33882390340682</c:v>
                </c:pt>
                <c:pt idx="4">
                  <c:v>97.93741761571225</c:v>
                </c:pt>
                <c:pt idx="6">
                  <c:v>-75.33882390340682</c:v>
                </c:pt>
                <c:pt idx="7">
                  <c:v>97.93741761571225</c:v>
                </c:pt>
                <c:pt idx="9">
                  <c:v>-75.33882390340682</c:v>
                </c:pt>
                <c:pt idx="10">
                  <c:v>97.93741761571225</c:v>
                </c:pt>
                <c:pt idx="12">
                  <c:v>-75.33882390340682</c:v>
                </c:pt>
                <c:pt idx="13">
                  <c:v>97.93741761571225</c:v>
                </c:pt>
                <c:pt idx="15">
                  <c:v>-75.33882390340682</c:v>
                </c:pt>
                <c:pt idx="16">
                  <c:v>97.93741761571225</c:v>
                </c:pt>
              </c:numCache>
            </c:numRef>
          </c:yVal>
          <c:smooth val="1"/>
        </c:ser>
        <c:axId val="57201299"/>
        <c:axId val="45049644"/>
      </c:scatterChart>
      <c:valAx>
        <c:axId val="57201299"/>
        <c:scaling>
          <c:orientation val="minMax"/>
        </c:scaling>
        <c:axPos val="b"/>
        <c:majorGridlines>
          <c:spPr>
            <a:ln w="3175">
              <a:solidFill>
                <a:srgbClr val="969696"/>
              </a:solidFill>
              <a:prstDash val="sysDot"/>
            </a:ln>
          </c:spPr>
        </c:majorGridlines>
        <c:delete val="0"/>
        <c:numFmt formatCode="General" sourceLinked="1"/>
        <c:majorTickMark val="none"/>
        <c:minorTickMark val="none"/>
        <c:tickLblPos val="low"/>
        <c:spPr>
          <a:ln w="3175">
            <a:noFill/>
          </a:ln>
        </c:spPr>
        <c:txPr>
          <a:bodyPr/>
          <a:lstStyle/>
          <a:p>
            <a:pPr>
              <a:defRPr lang="en-US" cap="none" sz="800" b="0" i="0" u="none" baseline="0"/>
            </a:pPr>
          </a:p>
        </c:txPr>
        <c:crossAx val="45049644"/>
        <c:crosses val="autoZero"/>
        <c:crossBetween val="midCat"/>
        <c:dispUnits/>
      </c:valAx>
      <c:valAx>
        <c:axId val="45049644"/>
        <c:scaling>
          <c:orientation val="minMax"/>
        </c:scaling>
        <c:axPos val="l"/>
        <c:majorGridlines>
          <c:spPr>
            <a:ln w="3175">
              <a:solidFill>
                <a:srgbClr val="969696"/>
              </a:solidFill>
              <a:prstDash val="sysDot"/>
            </a:ln>
          </c:spPr>
        </c:majorGridlines>
        <c:delete val="0"/>
        <c:numFmt formatCode="General" sourceLinked="1"/>
        <c:majorTickMark val="none"/>
        <c:minorTickMark val="none"/>
        <c:tickLblPos val="nextTo"/>
        <c:spPr>
          <a:ln w="3175">
            <a:noFill/>
          </a:ln>
        </c:spPr>
        <c:txPr>
          <a:bodyPr/>
          <a:lstStyle/>
          <a:p>
            <a:pPr>
              <a:defRPr lang="en-US" cap="none" sz="800" b="0" i="0" u="none" baseline="0"/>
            </a:pPr>
          </a:p>
        </c:txPr>
        <c:crossAx val="57201299"/>
        <c:crosses val="autoZero"/>
        <c:crossBetween val="midCat"/>
        <c:dispUnits/>
      </c:valAx>
      <c:spPr>
        <a:solidFill>
          <a:srgbClr val="EAEAEA"/>
        </a:solidFill>
        <a:ln w="3175">
          <a:solidFill>
            <a:srgbClr val="3366FF"/>
          </a:solidFill>
        </a:ln>
      </c:spPr>
    </c:plotArea>
    <c:plotVisOnly val="1"/>
    <c:dispBlanksAs val="gap"/>
    <c:showDLblsOverMax val="0"/>
  </c:chart>
  <c:spPr>
    <a:solidFill>
      <a:srgbClr val="FFFFE5"/>
    </a:solidFill>
    <a:ln w="3175">
      <a:solidFill>
        <a:srgbClr val="993300"/>
      </a:solid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875"/>
          <c:y val="0.04725"/>
          <c:w val="0.94475"/>
          <c:h val="0.93525"/>
        </c:manualLayout>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Graf!$C$121:$AL$121</c:f>
              <c:numCache>
                <c:ptCount val="36"/>
                <c:pt idx="0">
                  <c:v>0</c:v>
                </c:pt>
                <c:pt idx="1">
                  <c:v>0</c:v>
                </c:pt>
                <c:pt idx="2">
                  <c:v>0</c:v>
                </c:pt>
                <c:pt idx="3">
                  <c:v>0</c:v>
                </c:pt>
                <c:pt idx="4">
                  <c:v>0</c:v>
                </c:pt>
                <c:pt idx="5">
                  <c:v>0</c:v>
                </c:pt>
                <c:pt idx="6">
                  <c:v>-35.8543425</c:v>
                </c:pt>
                <c:pt idx="7">
                  <c:v>56.99138736442207</c:v>
                </c:pt>
                <c:pt idx="8">
                  <c:v>34.140702031088736</c:v>
                </c:pt>
                <c:pt idx="9">
                  <c:v>20.640702031088736</c:v>
                </c:pt>
                <c:pt idx="10">
                  <c:v>20.640702031088736</c:v>
                </c:pt>
                <c:pt idx="11">
                  <c:v>20.640702031088736</c:v>
                </c:pt>
                <c:pt idx="12">
                  <c:v>-66.82226596891128</c:v>
                </c:pt>
                <c:pt idx="13">
                  <c:v>70.25575332098386</c:v>
                </c:pt>
                <c:pt idx="14">
                  <c:v>70.25575332098386</c:v>
                </c:pt>
                <c:pt idx="15">
                  <c:v>70.25575332098386</c:v>
                </c:pt>
                <c:pt idx="16">
                  <c:v>70.25575332098386</c:v>
                </c:pt>
                <c:pt idx="17">
                  <c:v>70.25575332098386</c:v>
                </c:pt>
                <c:pt idx="18">
                  <c:v>-44.13910862346059</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Graf!$C$122:$AL$122</c:f>
              <c:numCache>
                <c:ptCount val="36"/>
                <c:pt idx="0">
                  <c:v>0</c:v>
                </c:pt>
                <c:pt idx="1">
                  <c:v>0</c:v>
                </c:pt>
                <c:pt idx="2">
                  <c:v>0</c:v>
                </c:pt>
                <c:pt idx="3">
                  <c:v>0</c:v>
                </c:pt>
                <c:pt idx="4">
                  <c:v>0</c:v>
                </c:pt>
                <c:pt idx="5">
                  <c:v>0</c:v>
                </c:pt>
                <c:pt idx="6">
                  <c:v>-35.8543425</c:v>
                </c:pt>
                <c:pt idx="7">
                  <c:v>25.340275298975193</c:v>
                </c:pt>
                <c:pt idx="8">
                  <c:v>15.646928632308525</c:v>
                </c:pt>
                <c:pt idx="9">
                  <c:v>7.146928632308525</c:v>
                </c:pt>
                <c:pt idx="10">
                  <c:v>7.146928632308525</c:v>
                </c:pt>
                <c:pt idx="11">
                  <c:v>7.146928632308525</c:v>
                </c:pt>
                <c:pt idx="12">
                  <c:v>-29.955191367691477</c:v>
                </c:pt>
                <c:pt idx="13">
                  <c:v>66.45497080428981</c:v>
                </c:pt>
                <c:pt idx="14">
                  <c:v>66.45497080428981</c:v>
                </c:pt>
                <c:pt idx="15">
                  <c:v>66.45497080428981</c:v>
                </c:pt>
                <c:pt idx="16">
                  <c:v>66.45497080428981</c:v>
                </c:pt>
                <c:pt idx="17">
                  <c:v>66.45497080428981</c:v>
                </c:pt>
                <c:pt idx="18">
                  <c:v>-47.93989114015462</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Graf!$C$123:$AL$123</c:f>
              <c:numCache>
                <c:ptCount val="36"/>
                <c:pt idx="0">
                  <c:v>0</c:v>
                </c:pt>
                <c:pt idx="1">
                  <c:v>0</c:v>
                </c:pt>
                <c:pt idx="2">
                  <c:v>0</c:v>
                </c:pt>
                <c:pt idx="3">
                  <c:v>0</c:v>
                </c:pt>
                <c:pt idx="4">
                  <c:v>0</c:v>
                </c:pt>
                <c:pt idx="5">
                  <c:v>0</c:v>
                </c:pt>
                <c:pt idx="6">
                  <c:v>-16.4673875</c:v>
                </c:pt>
                <c:pt idx="7">
                  <c:v>58.192543474335864</c:v>
                </c:pt>
                <c:pt idx="8">
                  <c:v>35.34185814100253</c:v>
                </c:pt>
                <c:pt idx="9">
                  <c:v>21.841858141002533</c:v>
                </c:pt>
                <c:pt idx="10">
                  <c:v>21.841858141002533</c:v>
                </c:pt>
                <c:pt idx="11">
                  <c:v>21.841858141002533</c:v>
                </c:pt>
                <c:pt idx="12">
                  <c:v>-65.62110985899749</c:v>
                </c:pt>
                <c:pt idx="13">
                  <c:v>33.0647666739532</c:v>
                </c:pt>
                <c:pt idx="14">
                  <c:v>33.0647666739532</c:v>
                </c:pt>
                <c:pt idx="15">
                  <c:v>33.0647666739532</c:v>
                </c:pt>
                <c:pt idx="16">
                  <c:v>33.0647666739532</c:v>
                </c:pt>
                <c:pt idx="17">
                  <c:v>33.0647666739532</c:v>
                </c:pt>
                <c:pt idx="18">
                  <c:v>-14.360134714935688</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Graf!$C$129:$AL$129</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axId val="2793613"/>
        <c:axId val="25142518"/>
      </c:scatterChart>
      <c:valAx>
        <c:axId val="2793613"/>
        <c:scaling>
          <c:orientation val="minMax"/>
        </c:scaling>
        <c:axPos val="b"/>
        <c:majorGridlines>
          <c:spPr>
            <a:ln w="3175">
              <a:solidFill>
                <a:srgbClr val="969696"/>
              </a:solidFill>
              <a:prstDash val="sysDot"/>
            </a:ln>
          </c:spPr>
        </c:majorGridlines>
        <c:delete val="0"/>
        <c:numFmt formatCode="General" sourceLinked="1"/>
        <c:majorTickMark val="none"/>
        <c:minorTickMark val="none"/>
        <c:tickLblPos val="low"/>
        <c:spPr>
          <a:ln w="3175">
            <a:noFill/>
          </a:ln>
        </c:spPr>
        <c:txPr>
          <a:bodyPr/>
          <a:lstStyle/>
          <a:p>
            <a:pPr>
              <a:defRPr lang="en-US" cap="none" sz="800" b="0" i="0" u="none" baseline="0"/>
            </a:pPr>
          </a:p>
        </c:txPr>
        <c:crossAx val="25142518"/>
        <c:crosses val="autoZero"/>
        <c:crossBetween val="midCat"/>
        <c:dispUnits/>
      </c:valAx>
      <c:valAx>
        <c:axId val="25142518"/>
        <c:scaling>
          <c:orientation val="minMax"/>
        </c:scaling>
        <c:axPos val="l"/>
        <c:majorGridlines>
          <c:spPr>
            <a:ln w="3175">
              <a:solidFill>
                <a:srgbClr val="969696"/>
              </a:solidFill>
              <a:prstDash val="sysDot"/>
            </a:ln>
          </c:spPr>
        </c:majorGridlines>
        <c:delete val="0"/>
        <c:numFmt formatCode="General" sourceLinked="1"/>
        <c:majorTickMark val="none"/>
        <c:minorTickMark val="none"/>
        <c:tickLblPos val="nextTo"/>
        <c:spPr>
          <a:ln w="3175">
            <a:noFill/>
          </a:ln>
        </c:spPr>
        <c:txPr>
          <a:bodyPr/>
          <a:lstStyle/>
          <a:p>
            <a:pPr>
              <a:defRPr lang="en-US" cap="none" sz="800" b="0" i="0" u="none" baseline="0"/>
            </a:pPr>
          </a:p>
        </c:txPr>
        <c:crossAx val="2793613"/>
        <c:crosses val="autoZero"/>
        <c:crossBetween val="midCat"/>
        <c:dispUnits/>
      </c:valAx>
      <c:spPr>
        <a:solidFill>
          <a:srgbClr val="EAEAEA"/>
        </a:solidFill>
        <a:ln w="12700">
          <a:solidFill>
            <a:srgbClr val="3366FF"/>
          </a:solidFill>
        </a:ln>
      </c:spPr>
    </c:plotArea>
    <c:plotVisOnly val="1"/>
    <c:dispBlanksAs val="gap"/>
    <c:showDLblsOverMax val="0"/>
  </c:chart>
  <c:spPr>
    <a:solidFill>
      <a:srgbClr val="FFFFE5"/>
    </a:solidFill>
    <a:ln w="3175">
      <a:solidFill>
        <a:srgbClr val="993300"/>
      </a:solid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65"/>
          <c:y val="0.04725"/>
          <c:w val="0.9445"/>
          <c:h val="0.947"/>
        </c:manualLayout>
      </c:layout>
      <c:scatterChart>
        <c:scatterStyle val="line"/>
        <c:varyColors val="0"/>
        <c:ser>
          <c:idx val="0"/>
          <c:order val="0"/>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Graf!$C$124:$AL$124</c:f>
              <c:numCache>
                <c:ptCount val="36"/>
                <c:pt idx="0">
                  <c:v>0</c:v>
                </c:pt>
                <c:pt idx="1">
                  <c:v>0</c:v>
                </c:pt>
                <c:pt idx="2">
                  <c:v>0</c:v>
                </c:pt>
                <c:pt idx="3">
                  <c:v>0</c:v>
                </c:pt>
                <c:pt idx="4">
                  <c:v>0</c:v>
                </c:pt>
                <c:pt idx="5">
                  <c:v>0</c:v>
                </c:pt>
                <c:pt idx="6">
                  <c:v>-35.8543425</c:v>
                </c:pt>
                <c:pt idx="7">
                  <c:v>59.09004631333019</c:v>
                </c:pt>
                <c:pt idx="8">
                  <c:v>36.23936097999686</c:v>
                </c:pt>
                <c:pt idx="9">
                  <c:v>22.73936097999686</c:v>
                </c:pt>
                <c:pt idx="10">
                  <c:v>22.73936097999686</c:v>
                </c:pt>
                <c:pt idx="11">
                  <c:v>22.73936097999686</c:v>
                </c:pt>
                <c:pt idx="12">
                  <c:v>-64.72360702000316</c:v>
                </c:pt>
                <c:pt idx="13">
                  <c:v>68.29700496866961</c:v>
                </c:pt>
                <c:pt idx="14">
                  <c:v>68.29700496866961</c:v>
                </c:pt>
                <c:pt idx="15">
                  <c:v>68.29700496866961</c:v>
                </c:pt>
                <c:pt idx="16">
                  <c:v>68.29700496866961</c:v>
                </c:pt>
                <c:pt idx="17">
                  <c:v>68.29700496866961</c:v>
                </c:pt>
                <c:pt idx="18">
                  <c:v>-46.09785697577483</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Graf!$C$125:$AL$125</c:f>
              <c:numCache>
                <c:ptCount val="36"/>
                <c:pt idx="0">
                  <c:v>0</c:v>
                </c:pt>
                <c:pt idx="1">
                  <c:v>0</c:v>
                </c:pt>
                <c:pt idx="2">
                  <c:v>0</c:v>
                </c:pt>
                <c:pt idx="3">
                  <c:v>0</c:v>
                </c:pt>
                <c:pt idx="4">
                  <c:v>0</c:v>
                </c:pt>
                <c:pt idx="5">
                  <c:v>0</c:v>
                </c:pt>
                <c:pt idx="6">
                  <c:v>-35.8543425</c:v>
                </c:pt>
                <c:pt idx="7">
                  <c:v>23.852456397392903</c:v>
                </c:pt>
                <c:pt idx="8">
                  <c:v>14.159109730726234</c:v>
                </c:pt>
                <c:pt idx="9">
                  <c:v>5.659109730726234</c:v>
                </c:pt>
                <c:pt idx="10">
                  <c:v>5.659109730726234</c:v>
                </c:pt>
                <c:pt idx="11">
                  <c:v>5.659109730726234</c:v>
                </c:pt>
                <c:pt idx="12">
                  <c:v>-31.443010269273767</c:v>
                </c:pt>
                <c:pt idx="13">
                  <c:v>67.84360177909997</c:v>
                </c:pt>
                <c:pt idx="14">
                  <c:v>67.84360177909997</c:v>
                </c:pt>
                <c:pt idx="15">
                  <c:v>67.84360177909997</c:v>
                </c:pt>
                <c:pt idx="16">
                  <c:v>67.84360177909997</c:v>
                </c:pt>
                <c:pt idx="17">
                  <c:v>67.84360177909997</c:v>
                </c:pt>
                <c:pt idx="18">
                  <c:v>-46.55126016534448</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ser>
          <c:idx val="2"/>
          <c:order val="2"/>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Graf!$C$126:$AL$126</c:f>
              <c:numCache>
                <c:ptCount val="36"/>
                <c:pt idx="0">
                  <c:v>0</c:v>
                </c:pt>
                <c:pt idx="1">
                  <c:v>0</c:v>
                </c:pt>
                <c:pt idx="2">
                  <c:v>0</c:v>
                </c:pt>
                <c:pt idx="3">
                  <c:v>0</c:v>
                </c:pt>
                <c:pt idx="4">
                  <c:v>0</c:v>
                </c:pt>
                <c:pt idx="5">
                  <c:v>0</c:v>
                </c:pt>
                <c:pt idx="6">
                  <c:v>-16.4673875</c:v>
                </c:pt>
                <c:pt idx="7">
                  <c:v>56.68949269191481</c:v>
                </c:pt>
                <c:pt idx="8">
                  <c:v>33.83880735858148</c:v>
                </c:pt>
                <c:pt idx="9">
                  <c:v>20.338807358581477</c:v>
                </c:pt>
                <c:pt idx="10">
                  <c:v>20.338807358581477</c:v>
                </c:pt>
                <c:pt idx="11">
                  <c:v>20.338807358581477</c:v>
                </c:pt>
                <c:pt idx="12">
                  <c:v>-67.12416064141854</c:v>
                </c:pt>
                <c:pt idx="13">
                  <c:v>34.46761407087952</c:v>
                </c:pt>
                <c:pt idx="14">
                  <c:v>34.46761407087952</c:v>
                </c:pt>
                <c:pt idx="15">
                  <c:v>34.46761407087952</c:v>
                </c:pt>
                <c:pt idx="16">
                  <c:v>34.46761407087952</c:v>
                </c:pt>
                <c:pt idx="17">
                  <c:v>34.46761407087952</c:v>
                </c:pt>
                <c:pt idx="18">
                  <c:v>-12.957287318009374</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Graf!$C$120:$AL$120</c:f>
              <c:numCache>
                <c:ptCount val="36"/>
                <c:pt idx="0">
                  <c:v>0</c:v>
                </c:pt>
                <c:pt idx="1">
                  <c:v>0</c:v>
                </c:pt>
                <c:pt idx="2">
                  <c:v>0</c:v>
                </c:pt>
                <c:pt idx="3">
                  <c:v>0</c:v>
                </c:pt>
                <c:pt idx="4">
                  <c:v>0</c:v>
                </c:pt>
                <c:pt idx="5">
                  <c:v>0</c:v>
                </c:pt>
                <c:pt idx="6">
                  <c:v>2</c:v>
                </c:pt>
                <c:pt idx="7">
                  <c:v>2</c:v>
                </c:pt>
                <c:pt idx="8">
                  <c:v>3.45</c:v>
                </c:pt>
                <c:pt idx="9">
                  <c:v>3.45</c:v>
                </c:pt>
                <c:pt idx="10">
                  <c:v>3.45</c:v>
                </c:pt>
                <c:pt idx="11">
                  <c:v>3.45</c:v>
                </c:pt>
                <c:pt idx="12">
                  <c:v>9</c:v>
                </c:pt>
                <c:pt idx="13">
                  <c:v>9</c:v>
                </c:pt>
                <c:pt idx="14">
                  <c:v>9</c:v>
                </c:pt>
                <c:pt idx="15">
                  <c:v>9</c:v>
                </c:pt>
                <c:pt idx="16">
                  <c:v>9</c:v>
                </c:pt>
                <c:pt idx="17">
                  <c:v>9</c:v>
                </c:pt>
                <c:pt idx="18">
                  <c:v>16.5</c:v>
                </c:pt>
                <c:pt idx="19">
                  <c:v>16.5</c:v>
                </c:pt>
                <c:pt idx="20">
                  <c:v>16.5</c:v>
                </c:pt>
                <c:pt idx="21">
                  <c:v>16.5</c:v>
                </c:pt>
                <c:pt idx="22">
                  <c:v>16.5</c:v>
                </c:pt>
                <c:pt idx="23">
                  <c:v>16.5</c:v>
                </c:pt>
                <c:pt idx="24">
                  <c:v>16.5</c:v>
                </c:pt>
                <c:pt idx="25">
                  <c:v>16.5</c:v>
                </c:pt>
                <c:pt idx="26">
                  <c:v>16.5</c:v>
                </c:pt>
                <c:pt idx="27">
                  <c:v>16.5</c:v>
                </c:pt>
                <c:pt idx="28">
                  <c:v>16.5</c:v>
                </c:pt>
                <c:pt idx="29">
                  <c:v>16.5</c:v>
                </c:pt>
                <c:pt idx="30">
                  <c:v>16.5</c:v>
                </c:pt>
                <c:pt idx="31">
                  <c:v>16.5</c:v>
                </c:pt>
                <c:pt idx="32">
                  <c:v>16.5</c:v>
                </c:pt>
                <c:pt idx="33">
                  <c:v>16.5</c:v>
                </c:pt>
                <c:pt idx="34">
                  <c:v>16.5</c:v>
                </c:pt>
              </c:numCache>
            </c:numRef>
          </c:xVal>
          <c:yVal>
            <c:numRef>
              <c:f>Graf!$C$129:$AL$129</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0"/>
        </c:ser>
        <c:axId val="24956071"/>
        <c:axId val="23278048"/>
      </c:scatterChart>
      <c:valAx>
        <c:axId val="24956071"/>
        <c:scaling>
          <c:orientation val="minMax"/>
        </c:scaling>
        <c:axPos val="b"/>
        <c:majorGridlines>
          <c:spPr>
            <a:ln w="3175">
              <a:solidFill>
                <a:srgbClr val="969696"/>
              </a:solidFill>
              <a:prstDash val="sysDot"/>
            </a:ln>
          </c:spPr>
        </c:majorGridlines>
        <c:delete val="0"/>
        <c:numFmt formatCode="General" sourceLinked="1"/>
        <c:majorTickMark val="none"/>
        <c:minorTickMark val="none"/>
        <c:tickLblPos val="low"/>
        <c:spPr>
          <a:ln w="3175">
            <a:noFill/>
          </a:ln>
        </c:spPr>
        <c:txPr>
          <a:bodyPr/>
          <a:lstStyle/>
          <a:p>
            <a:pPr>
              <a:defRPr lang="en-US" cap="none" sz="800" b="0" i="0" u="none" baseline="0"/>
            </a:pPr>
          </a:p>
        </c:txPr>
        <c:crossAx val="23278048"/>
        <c:crosses val="autoZero"/>
        <c:crossBetween val="midCat"/>
        <c:dispUnits/>
      </c:valAx>
      <c:valAx>
        <c:axId val="23278048"/>
        <c:scaling>
          <c:orientation val="minMax"/>
        </c:scaling>
        <c:axPos val="l"/>
        <c:majorGridlines>
          <c:spPr>
            <a:ln w="3175">
              <a:solidFill>
                <a:srgbClr val="969696"/>
              </a:solidFill>
              <a:prstDash val="sysDot"/>
            </a:ln>
          </c:spPr>
        </c:majorGridlines>
        <c:delete val="0"/>
        <c:numFmt formatCode="General" sourceLinked="1"/>
        <c:majorTickMark val="none"/>
        <c:minorTickMark val="none"/>
        <c:tickLblPos val="nextTo"/>
        <c:spPr>
          <a:ln w="3175">
            <a:noFill/>
          </a:ln>
        </c:spPr>
        <c:txPr>
          <a:bodyPr/>
          <a:lstStyle/>
          <a:p>
            <a:pPr>
              <a:defRPr lang="en-US" cap="none" sz="800" b="0" i="0" u="none" baseline="0"/>
            </a:pPr>
          </a:p>
        </c:txPr>
        <c:crossAx val="24956071"/>
        <c:crosses val="autoZero"/>
        <c:crossBetween val="midCat"/>
        <c:dispUnits/>
      </c:valAx>
      <c:spPr>
        <a:solidFill>
          <a:srgbClr val="EAEAEA"/>
        </a:solidFill>
        <a:ln w="3175">
          <a:solidFill>
            <a:srgbClr val="3366FF"/>
          </a:solidFill>
        </a:ln>
      </c:spPr>
    </c:plotArea>
    <c:plotVisOnly val="1"/>
    <c:dispBlanksAs val="gap"/>
    <c:showDLblsOverMax val="0"/>
  </c:chart>
  <c:spPr>
    <a:solidFill>
      <a:srgbClr val="FFFFE5"/>
    </a:solidFill>
    <a:ln w="3175">
      <a:solidFill>
        <a:srgbClr val="993300"/>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2.png" /><Relationship Id="rId5" Type="http://schemas.openxmlformats.org/officeDocument/2006/relationships/image" Target="../media/image7.png" /><Relationship Id="rId6"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43</xdr:row>
      <xdr:rowOff>47625</xdr:rowOff>
    </xdr:from>
    <xdr:to>
      <xdr:col>10</xdr:col>
      <xdr:colOff>638175</xdr:colOff>
      <xdr:row>48</xdr:row>
      <xdr:rowOff>123825</xdr:rowOff>
    </xdr:to>
    <xdr:graphicFrame>
      <xdr:nvGraphicFramePr>
        <xdr:cNvPr id="1" name="Chart 5"/>
        <xdr:cNvGraphicFramePr/>
      </xdr:nvGraphicFramePr>
      <xdr:xfrm>
        <a:off x="523875" y="9124950"/>
        <a:ext cx="7124700" cy="107632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1304925</xdr:colOff>
      <xdr:row>7</xdr:row>
      <xdr:rowOff>171450</xdr:rowOff>
    </xdr:from>
    <xdr:to>
      <xdr:col>11</xdr:col>
      <xdr:colOff>1933575</xdr:colOff>
      <xdr:row>9</xdr:row>
      <xdr:rowOff>28575</xdr:rowOff>
    </xdr:to>
    <xdr:pic>
      <xdr:nvPicPr>
        <xdr:cNvPr id="2" name="ComboBox1"/>
        <xdr:cNvPicPr preferRelativeResize="1">
          <a:picLocks noChangeAspect="1"/>
        </xdr:cNvPicPr>
      </xdr:nvPicPr>
      <xdr:blipFill>
        <a:blip r:embed="rId2"/>
        <a:stretch>
          <a:fillRect/>
        </a:stretch>
      </xdr:blipFill>
      <xdr:spPr>
        <a:xfrm>
          <a:off x="9048750" y="1933575"/>
          <a:ext cx="628650" cy="257175"/>
        </a:xfrm>
        <a:prstGeom prst="rect">
          <a:avLst/>
        </a:prstGeom>
        <a:noFill/>
        <a:ln w="9525" cmpd="sng">
          <a:noFill/>
        </a:ln>
      </xdr:spPr>
    </xdr:pic>
    <xdr:clientData/>
  </xdr:twoCellAnchor>
  <xdr:twoCellAnchor editAs="oneCell">
    <xdr:from>
      <xdr:col>11</xdr:col>
      <xdr:colOff>990600</xdr:colOff>
      <xdr:row>17</xdr:row>
      <xdr:rowOff>133350</xdr:rowOff>
    </xdr:from>
    <xdr:to>
      <xdr:col>11</xdr:col>
      <xdr:colOff>1914525</xdr:colOff>
      <xdr:row>19</xdr:row>
      <xdr:rowOff>0</xdr:rowOff>
    </xdr:to>
    <xdr:pic>
      <xdr:nvPicPr>
        <xdr:cNvPr id="3" name="ComboBox2"/>
        <xdr:cNvPicPr preferRelativeResize="1">
          <a:picLocks noChangeAspect="1"/>
        </xdr:cNvPicPr>
      </xdr:nvPicPr>
      <xdr:blipFill>
        <a:blip r:embed="rId3"/>
        <a:stretch>
          <a:fillRect/>
        </a:stretch>
      </xdr:blipFill>
      <xdr:spPr>
        <a:xfrm>
          <a:off x="8734425" y="3971925"/>
          <a:ext cx="923925" cy="266700"/>
        </a:xfrm>
        <a:prstGeom prst="rect">
          <a:avLst/>
        </a:prstGeom>
        <a:noFill/>
        <a:ln w="9525" cmpd="sng">
          <a:noFill/>
        </a:ln>
      </xdr:spPr>
    </xdr:pic>
    <xdr:clientData/>
  </xdr:twoCellAnchor>
  <xdr:twoCellAnchor editAs="oneCell">
    <xdr:from>
      <xdr:col>6</xdr:col>
      <xdr:colOff>733425</xdr:colOff>
      <xdr:row>1</xdr:row>
      <xdr:rowOff>47625</xdr:rowOff>
    </xdr:from>
    <xdr:to>
      <xdr:col>7</xdr:col>
      <xdr:colOff>533400</xdr:colOff>
      <xdr:row>2</xdr:row>
      <xdr:rowOff>66675</xdr:rowOff>
    </xdr:to>
    <xdr:pic>
      <xdr:nvPicPr>
        <xdr:cNvPr id="4" name="Picture 12"/>
        <xdr:cNvPicPr preferRelativeResize="1">
          <a:picLocks noChangeAspect="1"/>
        </xdr:cNvPicPr>
      </xdr:nvPicPr>
      <xdr:blipFill>
        <a:blip r:embed="rId4"/>
        <a:stretch>
          <a:fillRect/>
        </a:stretch>
      </xdr:blipFill>
      <xdr:spPr>
        <a:xfrm>
          <a:off x="4762500" y="295275"/>
          <a:ext cx="685800" cy="409575"/>
        </a:xfrm>
        <a:prstGeom prst="rect">
          <a:avLst/>
        </a:prstGeom>
        <a:noFill/>
        <a:ln w="9525" cmpd="sng">
          <a:noFill/>
        </a:ln>
      </xdr:spPr>
    </xdr:pic>
    <xdr:clientData/>
  </xdr:twoCellAnchor>
  <xdr:twoCellAnchor editAs="oneCell">
    <xdr:from>
      <xdr:col>11</xdr:col>
      <xdr:colOff>2438400</xdr:colOff>
      <xdr:row>7</xdr:row>
      <xdr:rowOff>190500</xdr:rowOff>
    </xdr:from>
    <xdr:to>
      <xdr:col>12</xdr:col>
      <xdr:colOff>828675</xdr:colOff>
      <xdr:row>9</xdr:row>
      <xdr:rowOff>142875</xdr:rowOff>
    </xdr:to>
    <xdr:pic>
      <xdr:nvPicPr>
        <xdr:cNvPr id="5" name="Picture 15"/>
        <xdr:cNvPicPr preferRelativeResize="1">
          <a:picLocks noChangeAspect="1"/>
        </xdr:cNvPicPr>
      </xdr:nvPicPr>
      <xdr:blipFill>
        <a:blip r:embed="rId5"/>
        <a:stretch>
          <a:fillRect/>
        </a:stretch>
      </xdr:blipFill>
      <xdr:spPr>
        <a:xfrm>
          <a:off x="10182225" y="1952625"/>
          <a:ext cx="1257300" cy="352425"/>
        </a:xfrm>
        <a:prstGeom prst="rect">
          <a:avLst/>
        </a:prstGeom>
        <a:noFill/>
        <a:ln w="9525" cmpd="sng">
          <a:noFill/>
        </a:ln>
      </xdr:spPr>
    </xdr:pic>
    <xdr:clientData/>
  </xdr:twoCellAnchor>
  <xdr:twoCellAnchor editAs="oneCell">
    <xdr:from>
      <xdr:col>11</xdr:col>
      <xdr:colOff>2590800</xdr:colOff>
      <xdr:row>5</xdr:row>
      <xdr:rowOff>47625</xdr:rowOff>
    </xdr:from>
    <xdr:to>
      <xdr:col>12</xdr:col>
      <xdr:colOff>533400</xdr:colOff>
      <xdr:row>7</xdr:row>
      <xdr:rowOff>28575</xdr:rowOff>
    </xdr:to>
    <xdr:pic>
      <xdr:nvPicPr>
        <xdr:cNvPr id="6" name="Picture 16"/>
        <xdr:cNvPicPr preferRelativeResize="1">
          <a:picLocks noChangeAspect="1"/>
        </xdr:cNvPicPr>
      </xdr:nvPicPr>
      <xdr:blipFill>
        <a:blip r:embed="rId6"/>
        <a:stretch>
          <a:fillRect/>
        </a:stretch>
      </xdr:blipFill>
      <xdr:spPr>
        <a:xfrm>
          <a:off x="10334625" y="1362075"/>
          <a:ext cx="8096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xdr:row>
      <xdr:rowOff>104775</xdr:rowOff>
    </xdr:from>
    <xdr:to>
      <xdr:col>5</xdr:col>
      <xdr:colOff>561975</xdr:colOff>
      <xdr:row>18</xdr:row>
      <xdr:rowOff>104775</xdr:rowOff>
    </xdr:to>
    <xdr:graphicFrame>
      <xdr:nvGraphicFramePr>
        <xdr:cNvPr id="1" name="Chart 1"/>
        <xdr:cNvGraphicFramePr/>
      </xdr:nvGraphicFramePr>
      <xdr:xfrm>
        <a:off x="457200" y="1962150"/>
        <a:ext cx="3867150" cy="2200275"/>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7</xdr:row>
      <xdr:rowOff>104775</xdr:rowOff>
    </xdr:from>
    <xdr:to>
      <xdr:col>10</xdr:col>
      <xdr:colOff>609600</xdr:colOff>
      <xdr:row>18</xdr:row>
      <xdr:rowOff>95250</xdr:rowOff>
    </xdr:to>
    <xdr:graphicFrame>
      <xdr:nvGraphicFramePr>
        <xdr:cNvPr id="2" name="Chart 2"/>
        <xdr:cNvGraphicFramePr/>
      </xdr:nvGraphicFramePr>
      <xdr:xfrm>
        <a:off x="4572000" y="1962150"/>
        <a:ext cx="3705225" cy="2190750"/>
      </xdr:xfrm>
      <a:graphic>
        <a:graphicData uri="http://schemas.openxmlformats.org/drawingml/2006/chart">
          <c:chart xmlns:c="http://schemas.openxmlformats.org/drawingml/2006/chart" r:id="rId2"/>
        </a:graphicData>
      </a:graphic>
    </xdr:graphicFrame>
    <xdr:clientData/>
  </xdr:twoCellAnchor>
  <xdr:twoCellAnchor>
    <xdr:from>
      <xdr:col>1</xdr:col>
      <xdr:colOff>142875</xdr:colOff>
      <xdr:row>32</xdr:row>
      <xdr:rowOff>104775</xdr:rowOff>
    </xdr:from>
    <xdr:to>
      <xdr:col>5</xdr:col>
      <xdr:colOff>523875</xdr:colOff>
      <xdr:row>43</xdr:row>
      <xdr:rowOff>152400</xdr:rowOff>
    </xdr:to>
    <xdr:graphicFrame>
      <xdr:nvGraphicFramePr>
        <xdr:cNvPr id="3" name="Chart 3"/>
        <xdr:cNvGraphicFramePr/>
      </xdr:nvGraphicFramePr>
      <xdr:xfrm>
        <a:off x="438150" y="7096125"/>
        <a:ext cx="3848100" cy="2247900"/>
      </xdr:xfrm>
      <a:graphic>
        <a:graphicData uri="http://schemas.openxmlformats.org/drawingml/2006/chart">
          <c:chart xmlns:c="http://schemas.openxmlformats.org/drawingml/2006/chart" r:id="rId3"/>
        </a:graphicData>
      </a:graphic>
    </xdr:graphicFrame>
    <xdr:clientData/>
  </xdr:twoCellAnchor>
  <xdr:twoCellAnchor>
    <xdr:from>
      <xdr:col>5</xdr:col>
      <xdr:colOff>752475</xdr:colOff>
      <xdr:row>32</xdr:row>
      <xdr:rowOff>104775</xdr:rowOff>
    </xdr:from>
    <xdr:to>
      <xdr:col>10</xdr:col>
      <xdr:colOff>657225</xdr:colOff>
      <xdr:row>43</xdr:row>
      <xdr:rowOff>152400</xdr:rowOff>
    </xdr:to>
    <xdr:graphicFrame>
      <xdr:nvGraphicFramePr>
        <xdr:cNvPr id="4" name="Chart 4"/>
        <xdr:cNvGraphicFramePr/>
      </xdr:nvGraphicFramePr>
      <xdr:xfrm>
        <a:off x="4514850" y="7096125"/>
        <a:ext cx="3810000" cy="2247900"/>
      </xdr:xfrm>
      <a:graphic>
        <a:graphicData uri="http://schemas.openxmlformats.org/drawingml/2006/chart">
          <c:chart xmlns:c="http://schemas.openxmlformats.org/drawingml/2006/chart" r:id="rId4"/>
        </a:graphicData>
      </a:graphic>
    </xdr:graphicFrame>
    <xdr:clientData/>
  </xdr:twoCellAnchor>
  <xdr:twoCellAnchor editAs="oneCell">
    <xdr:from>
      <xdr:col>6</xdr:col>
      <xdr:colOff>762000</xdr:colOff>
      <xdr:row>1</xdr:row>
      <xdr:rowOff>85725</xdr:rowOff>
    </xdr:from>
    <xdr:to>
      <xdr:col>7</xdr:col>
      <xdr:colOff>695325</xdr:colOff>
      <xdr:row>2</xdr:row>
      <xdr:rowOff>123825</xdr:rowOff>
    </xdr:to>
    <xdr:pic>
      <xdr:nvPicPr>
        <xdr:cNvPr id="5" name="Picture 9"/>
        <xdr:cNvPicPr preferRelativeResize="1">
          <a:picLocks noChangeAspect="1"/>
        </xdr:cNvPicPr>
      </xdr:nvPicPr>
      <xdr:blipFill>
        <a:blip r:embed="rId5"/>
        <a:stretch>
          <a:fillRect/>
        </a:stretch>
      </xdr:blipFill>
      <xdr:spPr>
        <a:xfrm>
          <a:off x="5305425" y="333375"/>
          <a:ext cx="7143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1</xdr:row>
      <xdr:rowOff>76200</xdr:rowOff>
    </xdr:from>
    <xdr:to>
      <xdr:col>8</xdr:col>
      <xdr:colOff>523875</xdr:colOff>
      <xdr:row>2</xdr:row>
      <xdr:rowOff>180975</xdr:rowOff>
    </xdr:to>
    <xdr:pic>
      <xdr:nvPicPr>
        <xdr:cNvPr id="1" name="Picture 13"/>
        <xdr:cNvPicPr preferRelativeResize="1">
          <a:picLocks noChangeAspect="1"/>
        </xdr:cNvPicPr>
      </xdr:nvPicPr>
      <xdr:blipFill>
        <a:blip r:embed="rId1"/>
        <a:stretch>
          <a:fillRect/>
        </a:stretch>
      </xdr:blipFill>
      <xdr:spPr>
        <a:xfrm>
          <a:off x="4581525" y="323850"/>
          <a:ext cx="800100" cy="476250"/>
        </a:xfrm>
        <a:prstGeom prst="rect">
          <a:avLst/>
        </a:prstGeom>
        <a:noFill/>
        <a:ln w="9525" cmpd="sng">
          <a:noFill/>
        </a:ln>
      </xdr:spPr>
    </xdr:pic>
    <xdr:clientData/>
  </xdr:twoCellAnchor>
  <xdr:twoCellAnchor editAs="oneCell">
    <xdr:from>
      <xdr:col>7</xdr:col>
      <xdr:colOff>390525</xdr:colOff>
      <xdr:row>49</xdr:row>
      <xdr:rowOff>66675</xdr:rowOff>
    </xdr:from>
    <xdr:to>
      <xdr:col>8</xdr:col>
      <xdr:colOff>504825</xdr:colOff>
      <xdr:row>50</xdr:row>
      <xdr:rowOff>180975</xdr:rowOff>
    </xdr:to>
    <xdr:pic>
      <xdr:nvPicPr>
        <xdr:cNvPr id="2" name="Picture 14"/>
        <xdr:cNvPicPr preferRelativeResize="1">
          <a:picLocks noChangeAspect="1"/>
        </xdr:cNvPicPr>
      </xdr:nvPicPr>
      <xdr:blipFill>
        <a:blip r:embed="rId1"/>
        <a:stretch>
          <a:fillRect/>
        </a:stretch>
      </xdr:blipFill>
      <xdr:spPr>
        <a:xfrm>
          <a:off x="4562475" y="11115675"/>
          <a:ext cx="800100" cy="466725"/>
        </a:xfrm>
        <a:prstGeom prst="rect">
          <a:avLst/>
        </a:prstGeom>
        <a:noFill/>
        <a:ln w="9525" cmpd="sng">
          <a:noFill/>
        </a:ln>
      </xdr:spPr>
    </xdr:pic>
    <xdr:clientData/>
  </xdr:twoCellAnchor>
  <xdr:twoCellAnchor editAs="oneCell">
    <xdr:from>
      <xdr:col>7</xdr:col>
      <xdr:colOff>409575</xdr:colOff>
      <xdr:row>97</xdr:row>
      <xdr:rowOff>76200</xdr:rowOff>
    </xdr:from>
    <xdr:to>
      <xdr:col>8</xdr:col>
      <xdr:colOff>523875</xdr:colOff>
      <xdr:row>98</xdr:row>
      <xdr:rowOff>190500</xdr:rowOff>
    </xdr:to>
    <xdr:pic>
      <xdr:nvPicPr>
        <xdr:cNvPr id="3" name="Picture 15"/>
        <xdr:cNvPicPr preferRelativeResize="1">
          <a:picLocks noChangeAspect="1"/>
        </xdr:cNvPicPr>
      </xdr:nvPicPr>
      <xdr:blipFill>
        <a:blip r:embed="rId1"/>
        <a:stretch>
          <a:fillRect/>
        </a:stretch>
      </xdr:blipFill>
      <xdr:spPr>
        <a:xfrm>
          <a:off x="4581525" y="21726525"/>
          <a:ext cx="8001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xdr:row>
      <xdr:rowOff>76200</xdr:rowOff>
    </xdr:from>
    <xdr:to>
      <xdr:col>5</xdr:col>
      <xdr:colOff>828675</xdr:colOff>
      <xdr:row>2</xdr:row>
      <xdr:rowOff>190500</xdr:rowOff>
    </xdr:to>
    <xdr:pic>
      <xdr:nvPicPr>
        <xdr:cNvPr id="1" name="Picture 5"/>
        <xdr:cNvPicPr preferRelativeResize="1">
          <a:picLocks noChangeAspect="1"/>
        </xdr:cNvPicPr>
      </xdr:nvPicPr>
      <xdr:blipFill>
        <a:blip r:embed="rId1"/>
        <a:stretch>
          <a:fillRect/>
        </a:stretch>
      </xdr:blipFill>
      <xdr:spPr>
        <a:xfrm>
          <a:off x="4467225" y="323850"/>
          <a:ext cx="8001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485775</xdr:colOff>
      <xdr:row>1</xdr:row>
      <xdr:rowOff>28575</xdr:rowOff>
    </xdr:from>
    <xdr:to>
      <xdr:col>13</xdr:col>
      <xdr:colOff>533400</xdr:colOff>
      <xdr:row>3</xdr:row>
      <xdr:rowOff>9525</xdr:rowOff>
    </xdr:to>
    <xdr:pic>
      <xdr:nvPicPr>
        <xdr:cNvPr id="1" name="Picture 17"/>
        <xdr:cNvPicPr preferRelativeResize="1">
          <a:picLocks noChangeAspect="1"/>
        </xdr:cNvPicPr>
      </xdr:nvPicPr>
      <xdr:blipFill>
        <a:blip r:embed="rId1"/>
        <a:stretch>
          <a:fillRect/>
        </a:stretch>
      </xdr:blipFill>
      <xdr:spPr>
        <a:xfrm>
          <a:off x="9182100" y="200025"/>
          <a:ext cx="800100" cy="438150"/>
        </a:xfrm>
        <a:prstGeom prst="rect">
          <a:avLst/>
        </a:prstGeom>
        <a:noFill/>
        <a:ln w="9525" cmpd="sng">
          <a:noFill/>
        </a:ln>
      </xdr:spPr>
    </xdr:pic>
    <xdr:clientData/>
  </xdr:twoCellAnchor>
  <xdr:twoCellAnchor editAs="oneCell">
    <xdr:from>
      <xdr:col>12</xdr:col>
      <xdr:colOff>495300</xdr:colOff>
      <xdr:row>66</xdr:row>
      <xdr:rowOff>38100</xdr:rowOff>
    </xdr:from>
    <xdr:to>
      <xdr:col>13</xdr:col>
      <xdr:colOff>542925</xdr:colOff>
      <xdr:row>67</xdr:row>
      <xdr:rowOff>190500</xdr:rowOff>
    </xdr:to>
    <xdr:pic>
      <xdr:nvPicPr>
        <xdr:cNvPr id="2" name="Picture 18"/>
        <xdr:cNvPicPr preferRelativeResize="1">
          <a:picLocks noChangeAspect="1"/>
        </xdr:cNvPicPr>
      </xdr:nvPicPr>
      <xdr:blipFill>
        <a:blip r:embed="rId1"/>
        <a:stretch>
          <a:fillRect/>
        </a:stretch>
      </xdr:blipFill>
      <xdr:spPr>
        <a:xfrm>
          <a:off x="9191625" y="13049250"/>
          <a:ext cx="800100" cy="457200"/>
        </a:xfrm>
        <a:prstGeom prst="rect">
          <a:avLst/>
        </a:prstGeom>
        <a:noFill/>
        <a:ln w="9525" cmpd="sng">
          <a:noFill/>
        </a:ln>
      </xdr:spPr>
    </xdr:pic>
    <xdr:clientData/>
  </xdr:twoCellAnchor>
  <xdr:twoCellAnchor editAs="oneCell">
    <xdr:from>
      <xdr:col>12</xdr:col>
      <xdr:colOff>504825</xdr:colOff>
      <xdr:row>140</xdr:row>
      <xdr:rowOff>38100</xdr:rowOff>
    </xdr:from>
    <xdr:to>
      <xdr:col>13</xdr:col>
      <xdr:colOff>552450</xdr:colOff>
      <xdr:row>142</xdr:row>
      <xdr:rowOff>19050</xdr:rowOff>
    </xdr:to>
    <xdr:pic>
      <xdr:nvPicPr>
        <xdr:cNvPr id="3" name="Picture 19"/>
        <xdr:cNvPicPr preferRelativeResize="1">
          <a:picLocks noChangeAspect="1"/>
        </xdr:cNvPicPr>
      </xdr:nvPicPr>
      <xdr:blipFill>
        <a:blip r:embed="rId1"/>
        <a:stretch>
          <a:fillRect/>
        </a:stretch>
      </xdr:blipFill>
      <xdr:spPr>
        <a:xfrm>
          <a:off x="9201150" y="27355800"/>
          <a:ext cx="800100" cy="438150"/>
        </a:xfrm>
        <a:prstGeom prst="rect">
          <a:avLst/>
        </a:prstGeom>
        <a:noFill/>
        <a:ln w="9525" cmpd="sng">
          <a:noFill/>
        </a:ln>
      </xdr:spPr>
    </xdr:pic>
    <xdr:clientData/>
  </xdr:twoCellAnchor>
  <xdr:twoCellAnchor editAs="oneCell">
    <xdr:from>
      <xdr:col>12</xdr:col>
      <xdr:colOff>523875</xdr:colOff>
      <xdr:row>205</xdr:row>
      <xdr:rowOff>28575</xdr:rowOff>
    </xdr:from>
    <xdr:to>
      <xdr:col>13</xdr:col>
      <xdr:colOff>571500</xdr:colOff>
      <xdr:row>207</xdr:row>
      <xdr:rowOff>9525</xdr:rowOff>
    </xdr:to>
    <xdr:pic>
      <xdr:nvPicPr>
        <xdr:cNvPr id="4" name="Picture 20"/>
        <xdr:cNvPicPr preferRelativeResize="1">
          <a:picLocks noChangeAspect="1"/>
        </xdr:cNvPicPr>
      </xdr:nvPicPr>
      <xdr:blipFill>
        <a:blip r:embed="rId1"/>
        <a:stretch>
          <a:fillRect/>
        </a:stretch>
      </xdr:blipFill>
      <xdr:spPr>
        <a:xfrm>
          <a:off x="9220200" y="40090725"/>
          <a:ext cx="800100" cy="438150"/>
        </a:xfrm>
        <a:prstGeom prst="rect">
          <a:avLst/>
        </a:prstGeom>
        <a:noFill/>
        <a:ln w="9525" cmpd="sng">
          <a:noFill/>
        </a:ln>
      </xdr:spPr>
    </xdr:pic>
    <xdr:clientData/>
  </xdr:twoCellAnchor>
  <xdr:twoCellAnchor editAs="oneCell">
    <xdr:from>
      <xdr:col>12</xdr:col>
      <xdr:colOff>523875</xdr:colOff>
      <xdr:row>270</xdr:row>
      <xdr:rowOff>28575</xdr:rowOff>
    </xdr:from>
    <xdr:to>
      <xdr:col>13</xdr:col>
      <xdr:colOff>571500</xdr:colOff>
      <xdr:row>272</xdr:row>
      <xdr:rowOff>9525</xdr:rowOff>
    </xdr:to>
    <xdr:pic>
      <xdr:nvPicPr>
        <xdr:cNvPr id="5" name="Picture 21"/>
        <xdr:cNvPicPr preferRelativeResize="1">
          <a:picLocks noChangeAspect="1"/>
        </xdr:cNvPicPr>
      </xdr:nvPicPr>
      <xdr:blipFill>
        <a:blip r:embed="rId1"/>
        <a:stretch>
          <a:fillRect/>
        </a:stretch>
      </xdr:blipFill>
      <xdr:spPr>
        <a:xfrm>
          <a:off x="9220200" y="52825650"/>
          <a:ext cx="80010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1</xdr:row>
      <xdr:rowOff>47625</xdr:rowOff>
    </xdr:from>
    <xdr:to>
      <xdr:col>9</xdr:col>
      <xdr:colOff>828675</xdr:colOff>
      <xdr:row>3</xdr:row>
      <xdr:rowOff>28575</xdr:rowOff>
    </xdr:to>
    <xdr:pic>
      <xdr:nvPicPr>
        <xdr:cNvPr id="1" name="Picture 60"/>
        <xdr:cNvPicPr preferRelativeResize="1">
          <a:picLocks noChangeAspect="1"/>
        </xdr:cNvPicPr>
      </xdr:nvPicPr>
      <xdr:blipFill>
        <a:blip r:embed="rId1"/>
        <a:stretch>
          <a:fillRect/>
        </a:stretch>
      </xdr:blipFill>
      <xdr:spPr>
        <a:xfrm>
          <a:off x="8658225" y="257175"/>
          <a:ext cx="800100" cy="438150"/>
        </a:xfrm>
        <a:prstGeom prst="rect">
          <a:avLst/>
        </a:prstGeom>
        <a:noFill/>
        <a:ln w="9525" cmpd="sng">
          <a:noFill/>
        </a:ln>
      </xdr:spPr>
    </xdr:pic>
    <xdr:clientData/>
  </xdr:twoCellAnchor>
  <xdr:twoCellAnchor editAs="oneCell">
    <xdr:from>
      <xdr:col>9</xdr:col>
      <xdr:colOff>9525</xdr:colOff>
      <xdr:row>65</xdr:row>
      <xdr:rowOff>28575</xdr:rowOff>
    </xdr:from>
    <xdr:to>
      <xdr:col>9</xdr:col>
      <xdr:colOff>809625</xdr:colOff>
      <xdr:row>67</xdr:row>
      <xdr:rowOff>9525</xdr:rowOff>
    </xdr:to>
    <xdr:pic>
      <xdr:nvPicPr>
        <xdr:cNvPr id="2" name="Picture 61"/>
        <xdr:cNvPicPr preferRelativeResize="1">
          <a:picLocks noChangeAspect="1"/>
        </xdr:cNvPicPr>
      </xdr:nvPicPr>
      <xdr:blipFill>
        <a:blip r:embed="rId1"/>
        <a:stretch>
          <a:fillRect/>
        </a:stretch>
      </xdr:blipFill>
      <xdr:spPr>
        <a:xfrm>
          <a:off x="8639175" y="13239750"/>
          <a:ext cx="800100" cy="438150"/>
        </a:xfrm>
        <a:prstGeom prst="rect">
          <a:avLst/>
        </a:prstGeom>
        <a:noFill/>
        <a:ln w="9525" cmpd="sng">
          <a:noFill/>
        </a:ln>
      </xdr:spPr>
    </xdr:pic>
    <xdr:clientData/>
  </xdr:twoCellAnchor>
  <xdr:twoCellAnchor editAs="oneCell">
    <xdr:from>
      <xdr:col>9</xdr:col>
      <xdr:colOff>38100</xdr:colOff>
      <xdr:row>131</xdr:row>
      <xdr:rowOff>28575</xdr:rowOff>
    </xdr:from>
    <xdr:to>
      <xdr:col>9</xdr:col>
      <xdr:colOff>838200</xdr:colOff>
      <xdr:row>133</xdr:row>
      <xdr:rowOff>9525</xdr:rowOff>
    </xdr:to>
    <xdr:pic>
      <xdr:nvPicPr>
        <xdr:cNvPr id="3" name="Picture 62"/>
        <xdr:cNvPicPr preferRelativeResize="1">
          <a:picLocks noChangeAspect="1"/>
        </xdr:cNvPicPr>
      </xdr:nvPicPr>
      <xdr:blipFill>
        <a:blip r:embed="rId1"/>
        <a:stretch>
          <a:fillRect/>
        </a:stretch>
      </xdr:blipFill>
      <xdr:spPr>
        <a:xfrm>
          <a:off x="8667750" y="26593800"/>
          <a:ext cx="800100" cy="438150"/>
        </a:xfrm>
        <a:prstGeom prst="rect">
          <a:avLst/>
        </a:prstGeom>
        <a:noFill/>
        <a:ln w="9525" cmpd="sng">
          <a:noFill/>
        </a:ln>
      </xdr:spPr>
    </xdr:pic>
    <xdr:clientData/>
  </xdr:twoCellAnchor>
  <xdr:twoCellAnchor editAs="oneCell">
    <xdr:from>
      <xdr:col>9</xdr:col>
      <xdr:colOff>28575</xdr:colOff>
      <xdr:row>195</xdr:row>
      <xdr:rowOff>38100</xdr:rowOff>
    </xdr:from>
    <xdr:to>
      <xdr:col>9</xdr:col>
      <xdr:colOff>828675</xdr:colOff>
      <xdr:row>197</xdr:row>
      <xdr:rowOff>19050</xdr:rowOff>
    </xdr:to>
    <xdr:pic>
      <xdr:nvPicPr>
        <xdr:cNvPr id="4" name="Picture 63"/>
        <xdr:cNvPicPr preferRelativeResize="1">
          <a:picLocks noChangeAspect="1"/>
        </xdr:cNvPicPr>
      </xdr:nvPicPr>
      <xdr:blipFill>
        <a:blip r:embed="rId1"/>
        <a:stretch>
          <a:fillRect/>
        </a:stretch>
      </xdr:blipFill>
      <xdr:spPr>
        <a:xfrm>
          <a:off x="8658225" y="39509700"/>
          <a:ext cx="800100" cy="438150"/>
        </a:xfrm>
        <a:prstGeom prst="rect">
          <a:avLst/>
        </a:prstGeom>
        <a:noFill/>
        <a:ln w="9525" cmpd="sng">
          <a:noFill/>
        </a:ln>
      </xdr:spPr>
    </xdr:pic>
    <xdr:clientData/>
  </xdr:twoCellAnchor>
  <xdr:twoCellAnchor editAs="oneCell">
    <xdr:from>
      <xdr:col>9</xdr:col>
      <xdr:colOff>38100</xdr:colOff>
      <xdr:row>262</xdr:row>
      <xdr:rowOff>47625</xdr:rowOff>
    </xdr:from>
    <xdr:to>
      <xdr:col>9</xdr:col>
      <xdr:colOff>838200</xdr:colOff>
      <xdr:row>264</xdr:row>
      <xdr:rowOff>28575</xdr:rowOff>
    </xdr:to>
    <xdr:pic>
      <xdr:nvPicPr>
        <xdr:cNvPr id="5" name="Picture 64"/>
        <xdr:cNvPicPr preferRelativeResize="1">
          <a:picLocks noChangeAspect="1"/>
        </xdr:cNvPicPr>
      </xdr:nvPicPr>
      <xdr:blipFill>
        <a:blip r:embed="rId1"/>
        <a:stretch>
          <a:fillRect/>
        </a:stretch>
      </xdr:blipFill>
      <xdr:spPr>
        <a:xfrm>
          <a:off x="8667750" y="53092350"/>
          <a:ext cx="800100" cy="438150"/>
        </a:xfrm>
        <a:prstGeom prst="rect">
          <a:avLst/>
        </a:prstGeom>
        <a:noFill/>
        <a:ln w="9525" cmpd="sng">
          <a:noFill/>
        </a:ln>
      </xdr:spPr>
    </xdr:pic>
    <xdr:clientData/>
  </xdr:twoCellAnchor>
  <xdr:twoCellAnchor editAs="oneCell">
    <xdr:from>
      <xdr:col>9</xdr:col>
      <xdr:colOff>28575</xdr:colOff>
      <xdr:row>331</xdr:row>
      <xdr:rowOff>38100</xdr:rowOff>
    </xdr:from>
    <xdr:to>
      <xdr:col>9</xdr:col>
      <xdr:colOff>828675</xdr:colOff>
      <xdr:row>333</xdr:row>
      <xdr:rowOff>19050</xdr:rowOff>
    </xdr:to>
    <xdr:pic>
      <xdr:nvPicPr>
        <xdr:cNvPr id="6" name="Picture 65"/>
        <xdr:cNvPicPr preferRelativeResize="1">
          <a:picLocks noChangeAspect="1"/>
        </xdr:cNvPicPr>
      </xdr:nvPicPr>
      <xdr:blipFill>
        <a:blip r:embed="rId1"/>
        <a:stretch>
          <a:fillRect/>
        </a:stretch>
      </xdr:blipFill>
      <xdr:spPr>
        <a:xfrm>
          <a:off x="8658225" y="67027425"/>
          <a:ext cx="800100" cy="438150"/>
        </a:xfrm>
        <a:prstGeom prst="rect">
          <a:avLst/>
        </a:prstGeom>
        <a:noFill/>
        <a:ln w="9525" cmpd="sng">
          <a:noFill/>
        </a:ln>
      </xdr:spPr>
    </xdr:pic>
    <xdr:clientData/>
  </xdr:twoCellAnchor>
  <xdr:twoCellAnchor editAs="oneCell">
    <xdr:from>
      <xdr:col>9</xdr:col>
      <xdr:colOff>28575</xdr:colOff>
      <xdr:row>395</xdr:row>
      <xdr:rowOff>47625</xdr:rowOff>
    </xdr:from>
    <xdr:to>
      <xdr:col>9</xdr:col>
      <xdr:colOff>828675</xdr:colOff>
      <xdr:row>397</xdr:row>
      <xdr:rowOff>28575</xdr:rowOff>
    </xdr:to>
    <xdr:pic>
      <xdr:nvPicPr>
        <xdr:cNvPr id="7" name="Picture 66"/>
        <xdr:cNvPicPr preferRelativeResize="1">
          <a:picLocks noChangeAspect="1"/>
        </xdr:cNvPicPr>
      </xdr:nvPicPr>
      <xdr:blipFill>
        <a:blip r:embed="rId1"/>
        <a:stretch>
          <a:fillRect/>
        </a:stretch>
      </xdr:blipFill>
      <xdr:spPr>
        <a:xfrm>
          <a:off x="8658225" y="79933800"/>
          <a:ext cx="800100" cy="438150"/>
        </a:xfrm>
        <a:prstGeom prst="rect">
          <a:avLst/>
        </a:prstGeom>
        <a:noFill/>
        <a:ln w="9525" cmpd="sng">
          <a:noFill/>
        </a:ln>
      </xdr:spPr>
    </xdr:pic>
    <xdr:clientData/>
  </xdr:twoCellAnchor>
  <xdr:twoCellAnchor editAs="oneCell">
    <xdr:from>
      <xdr:col>9</xdr:col>
      <xdr:colOff>28575</xdr:colOff>
      <xdr:row>462</xdr:row>
      <xdr:rowOff>38100</xdr:rowOff>
    </xdr:from>
    <xdr:to>
      <xdr:col>9</xdr:col>
      <xdr:colOff>828675</xdr:colOff>
      <xdr:row>464</xdr:row>
      <xdr:rowOff>19050</xdr:rowOff>
    </xdr:to>
    <xdr:pic>
      <xdr:nvPicPr>
        <xdr:cNvPr id="8" name="Picture 67"/>
        <xdr:cNvPicPr preferRelativeResize="1">
          <a:picLocks noChangeAspect="1"/>
        </xdr:cNvPicPr>
      </xdr:nvPicPr>
      <xdr:blipFill>
        <a:blip r:embed="rId1"/>
        <a:stretch>
          <a:fillRect/>
        </a:stretch>
      </xdr:blipFill>
      <xdr:spPr>
        <a:xfrm>
          <a:off x="8658225" y="93497400"/>
          <a:ext cx="800100" cy="438150"/>
        </a:xfrm>
        <a:prstGeom prst="rect">
          <a:avLst/>
        </a:prstGeom>
        <a:noFill/>
        <a:ln w="9525" cmpd="sng">
          <a:noFill/>
        </a:ln>
      </xdr:spPr>
    </xdr:pic>
    <xdr:clientData/>
  </xdr:twoCellAnchor>
  <xdr:twoCellAnchor editAs="oneCell">
    <xdr:from>
      <xdr:col>9</xdr:col>
      <xdr:colOff>9525</xdr:colOff>
      <xdr:row>530</xdr:row>
      <xdr:rowOff>57150</xdr:rowOff>
    </xdr:from>
    <xdr:to>
      <xdr:col>9</xdr:col>
      <xdr:colOff>809625</xdr:colOff>
      <xdr:row>532</xdr:row>
      <xdr:rowOff>38100</xdr:rowOff>
    </xdr:to>
    <xdr:pic>
      <xdr:nvPicPr>
        <xdr:cNvPr id="9" name="Picture 68"/>
        <xdr:cNvPicPr preferRelativeResize="1">
          <a:picLocks noChangeAspect="1"/>
        </xdr:cNvPicPr>
      </xdr:nvPicPr>
      <xdr:blipFill>
        <a:blip r:embed="rId1"/>
        <a:stretch>
          <a:fillRect/>
        </a:stretch>
      </xdr:blipFill>
      <xdr:spPr>
        <a:xfrm>
          <a:off x="8639175" y="107270550"/>
          <a:ext cx="80010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295275</xdr:colOff>
      <xdr:row>78</xdr:row>
      <xdr:rowOff>38100</xdr:rowOff>
    </xdr:from>
    <xdr:to>
      <xdr:col>36</xdr:col>
      <xdr:colOff>371475</xdr:colOff>
      <xdr:row>80</xdr:row>
      <xdr:rowOff>38100</xdr:rowOff>
    </xdr:to>
    <xdr:pic>
      <xdr:nvPicPr>
        <xdr:cNvPr id="1" name="Picture 7"/>
        <xdr:cNvPicPr preferRelativeResize="1">
          <a:picLocks noChangeAspect="1"/>
        </xdr:cNvPicPr>
      </xdr:nvPicPr>
      <xdr:blipFill>
        <a:blip r:embed="rId1"/>
        <a:stretch>
          <a:fillRect/>
        </a:stretch>
      </xdr:blipFill>
      <xdr:spPr>
        <a:xfrm>
          <a:off x="21850350" y="15592425"/>
          <a:ext cx="685800" cy="457200"/>
        </a:xfrm>
        <a:prstGeom prst="rect">
          <a:avLst/>
        </a:prstGeom>
        <a:noFill/>
        <a:ln w="9525" cmpd="sng">
          <a:noFill/>
        </a:ln>
      </xdr:spPr>
    </xdr:pic>
    <xdr:clientData/>
  </xdr:twoCellAnchor>
  <xdr:twoCellAnchor editAs="oneCell">
    <xdr:from>
      <xdr:col>35</xdr:col>
      <xdr:colOff>371475</xdr:colOff>
      <xdr:row>1</xdr:row>
      <xdr:rowOff>47625</xdr:rowOff>
    </xdr:from>
    <xdr:to>
      <xdr:col>36</xdr:col>
      <xdr:colOff>561975</xdr:colOff>
      <xdr:row>3</xdr:row>
      <xdr:rowOff>28575</xdr:rowOff>
    </xdr:to>
    <xdr:pic>
      <xdr:nvPicPr>
        <xdr:cNvPr id="2" name="Picture 8"/>
        <xdr:cNvPicPr preferRelativeResize="1">
          <a:picLocks noChangeAspect="1"/>
        </xdr:cNvPicPr>
      </xdr:nvPicPr>
      <xdr:blipFill>
        <a:blip r:embed="rId2"/>
        <a:stretch>
          <a:fillRect/>
        </a:stretch>
      </xdr:blipFill>
      <xdr:spPr>
        <a:xfrm>
          <a:off x="21926550" y="219075"/>
          <a:ext cx="80010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4</xdr:row>
      <xdr:rowOff>85725</xdr:rowOff>
    </xdr:from>
    <xdr:to>
      <xdr:col>5</xdr:col>
      <xdr:colOff>3562350</xdr:colOff>
      <xdr:row>21</xdr:row>
      <xdr:rowOff>161925</xdr:rowOff>
    </xdr:to>
    <xdr:pic>
      <xdr:nvPicPr>
        <xdr:cNvPr id="1" name="Picture 1"/>
        <xdr:cNvPicPr preferRelativeResize="1">
          <a:picLocks noChangeAspect="1"/>
        </xdr:cNvPicPr>
      </xdr:nvPicPr>
      <xdr:blipFill>
        <a:blip r:embed="rId1"/>
        <a:stretch>
          <a:fillRect/>
        </a:stretch>
      </xdr:blipFill>
      <xdr:spPr>
        <a:xfrm>
          <a:off x="7867650" y="847725"/>
          <a:ext cx="2695575" cy="390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S57"/>
  <sheetViews>
    <sheetView showGridLines="0" tabSelected="1" zoomScale="75" zoomScaleNormal="75" workbookViewId="0" topLeftCell="A1">
      <selection activeCell="A1" sqref="A1"/>
    </sheetView>
  </sheetViews>
  <sheetFormatPr defaultColWidth="9.140625" defaultRowHeight="12.75"/>
  <cols>
    <col min="1" max="1" width="6.57421875" style="127" customWidth="1"/>
    <col min="2" max="2" width="9.8515625" style="127" customWidth="1"/>
    <col min="3" max="6" width="11.00390625" style="127" customWidth="1"/>
    <col min="7" max="7" width="13.28125" style="127" customWidth="1"/>
    <col min="8" max="8" width="9.421875" style="127" customWidth="1"/>
    <col min="9" max="9" width="9.7109375" style="127" customWidth="1"/>
    <col min="10" max="10" width="12.28125" style="127" customWidth="1"/>
    <col min="11" max="11" width="11.00390625" style="127" customWidth="1"/>
    <col min="12" max="12" width="43.00390625" style="127" bestFit="1" customWidth="1"/>
    <col min="13" max="13" width="23.00390625" style="127" customWidth="1"/>
    <col min="14" max="14" width="9.140625" style="127" customWidth="1"/>
    <col min="15" max="15" width="8.7109375" style="127" customWidth="1"/>
    <col min="16" max="16" width="9.57421875" style="127" customWidth="1"/>
    <col min="17" max="17" width="7.140625" style="127" customWidth="1"/>
    <col min="18" max="18" width="19.8515625" style="127" bestFit="1" customWidth="1"/>
    <col min="19" max="19" width="9.28125" style="127" customWidth="1"/>
    <col min="20" max="20" width="10.00390625" style="127" customWidth="1"/>
    <col min="21" max="21" width="7.140625" style="127" customWidth="1"/>
    <col min="22" max="22" width="9.28125" style="127" customWidth="1"/>
    <col min="23" max="23" width="9.140625" style="127" customWidth="1"/>
    <col min="24" max="24" width="8.421875" style="127" customWidth="1"/>
    <col min="25" max="25" width="3.7109375" style="127" customWidth="1"/>
    <col min="26" max="26" width="16.28125" style="127" customWidth="1"/>
    <col min="27" max="27" width="26.28125" style="127" customWidth="1"/>
    <col min="28" max="16384" width="9.140625" style="127" customWidth="1"/>
  </cols>
  <sheetData>
    <row r="1" spans="1:19" ht="19.5" thickBot="1">
      <c r="A1" s="803">
        <v>2.2</v>
      </c>
      <c r="B1" s="125"/>
      <c r="C1" s="125"/>
      <c r="D1" s="125"/>
      <c r="E1" s="125"/>
      <c r="F1" s="125"/>
      <c r="G1" s="125"/>
      <c r="H1" s="125"/>
      <c r="I1" s="125"/>
      <c r="J1" s="125"/>
      <c r="K1" s="125"/>
      <c r="L1" s="126" t="s">
        <v>0</v>
      </c>
      <c r="M1" s="126"/>
      <c r="O1" s="489" t="s">
        <v>378</v>
      </c>
      <c r="P1" s="490">
        <v>6</v>
      </c>
      <c r="R1" s="496" t="s">
        <v>392</v>
      </c>
      <c r="S1" s="78" t="s">
        <v>385</v>
      </c>
    </row>
    <row r="2" spans="1:19" ht="30.75" customHeight="1" thickBot="1" thickTop="1">
      <c r="A2" s="129"/>
      <c r="B2" s="130" t="s">
        <v>1</v>
      </c>
      <c r="C2" s="504" t="s">
        <v>427</v>
      </c>
      <c r="D2" s="131"/>
      <c r="E2" s="131"/>
      <c r="F2" s="131"/>
      <c r="G2" s="131"/>
      <c r="H2" s="783"/>
      <c r="I2" s="505" t="s">
        <v>396</v>
      </c>
      <c r="J2" s="133"/>
      <c r="K2" s="134"/>
      <c r="L2" s="135" t="s">
        <v>339</v>
      </c>
      <c r="M2" s="135"/>
      <c r="O2" s="491"/>
      <c r="P2" s="492">
        <v>8</v>
      </c>
      <c r="R2" s="497" t="s">
        <v>386</v>
      </c>
      <c r="S2" s="37">
        <f>MAX(Bar!E85/Bar!E86,Bar!I85/Bar!I86)</f>
        <v>0.4527368247907207</v>
      </c>
    </row>
    <row r="3" spans="1:19" ht="16.5" thickTop="1">
      <c r="A3" s="125"/>
      <c r="B3" s="136" t="s">
        <v>2</v>
      </c>
      <c r="C3" s="784" t="s">
        <v>394</v>
      </c>
      <c r="D3" s="785"/>
      <c r="E3" s="310"/>
      <c r="F3" s="780"/>
      <c r="G3" s="780"/>
      <c r="H3" s="779"/>
      <c r="I3" s="140" t="s">
        <v>3</v>
      </c>
      <c r="J3" s="141" t="s">
        <v>4</v>
      </c>
      <c r="K3" s="406" t="s">
        <v>76</v>
      </c>
      <c r="L3" s="135" t="s">
        <v>340</v>
      </c>
      <c r="M3" s="135"/>
      <c r="O3" s="493"/>
      <c r="P3" s="492">
        <v>10</v>
      </c>
      <c r="R3" s="497"/>
      <c r="S3" s="37">
        <f>IF(Bar!K$15&lt;2,0,MAX(Bar!E175/Bar!E176,Bar!I175/Bar!I176))</f>
        <v>1.204978688733817</v>
      </c>
    </row>
    <row r="4" spans="1:19" ht="18.75">
      <c r="A4" s="125"/>
      <c r="B4" s="136" t="s">
        <v>5</v>
      </c>
      <c r="C4" s="784" t="s">
        <v>395</v>
      </c>
      <c r="D4" s="786"/>
      <c r="E4" s="267"/>
      <c r="F4" s="787" t="str">
        <f>"from "&amp;E8&amp;" to "&amp;G8</f>
        <v>from 1 to 5a</v>
      </c>
      <c r="G4" s="781"/>
      <c r="H4" s="779"/>
      <c r="I4" s="19" t="s">
        <v>439</v>
      </c>
      <c r="J4" s="777">
        <f ca="1">TODAY()</f>
        <v>39305</v>
      </c>
      <c r="K4" s="405">
        <v>43</v>
      </c>
      <c r="L4" s="135" t="s">
        <v>344</v>
      </c>
      <c r="M4" s="135"/>
      <c r="O4" s="493"/>
      <c r="P4" s="492">
        <v>12</v>
      </c>
      <c r="R4" s="498" t="s">
        <v>392</v>
      </c>
      <c r="S4" s="37">
        <f>IF(Bar!K$15&lt;3,0,MAX(Bar!E282/Bar!E283,Bar!I282/Bar!I283))</f>
        <v>1.2331931989320013</v>
      </c>
    </row>
    <row r="5" spans="1:19" ht="18">
      <c r="A5" s="125"/>
      <c r="B5" s="147"/>
      <c r="C5" s="788" t="s">
        <v>435</v>
      </c>
      <c r="D5" s="789"/>
      <c r="E5" s="790"/>
      <c r="F5" s="781"/>
      <c r="G5" s="781"/>
      <c r="H5" s="779"/>
      <c r="I5" s="140" t="s">
        <v>6</v>
      </c>
      <c r="J5" s="193" t="s">
        <v>7</v>
      </c>
      <c r="K5" s="189" t="s">
        <v>8</v>
      </c>
      <c r="L5" s="135" t="s">
        <v>345</v>
      </c>
      <c r="M5" s="135"/>
      <c r="O5" s="494"/>
      <c r="P5" s="495">
        <v>16</v>
      </c>
      <c r="R5" s="497"/>
      <c r="S5" s="37">
        <f>IF(Bar!K$15&lt;4,0,MAX(Bar!E375/Bar!E376,Bar!I375/Bar!I376))</f>
        <v>0</v>
      </c>
    </row>
    <row r="6" spans="1:19" ht="18.75" thickBot="1">
      <c r="A6" s="125"/>
      <c r="B6" s="152"/>
      <c r="C6" s="818"/>
      <c r="D6" s="819" t="s">
        <v>461</v>
      </c>
      <c r="E6" s="818" t="str">
        <f>" v"&amp;A1&amp;" on CD               © 2000-2003 BCA for RCC"</f>
        <v> v2.2 on CD               © 2000-2003 BCA for RCC</v>
      </c>
      <c r="F6" s="156"/>
      <c r="G6" s="156"/>
      <c r="H6" s="782"/>
      <c r="I6" s="20" t="s">
        <v>398</v>
      </c>
      <c r="J6" s="407" t="s">
        <v>437</v>
      </c>
      <c r="K6" s="408" t="s">
        <v>397</v>
      </c>
      <c r="L6" s="157"/>
      <c r="M6" s="157"/>
      <c r="O6" s="143"/>
      <c r="R6" s="497"/>
      <c r="S6" s="37">
        <f>IF(Bar!K$15&lt;5,0,MAX(Bar!E482/Bar!E483,Bar!I482/Bar!I483))</f>
        <v>0</v>
      </c>
    </row>
    <row r="7" spans="1:19" ht="16.5" thickTop="1">
      <c r="A7" s="409"/>
      <c r="B7" s="410"/>
      <c r="C7" s="411"/>
      <c r="D7" s="411"/>
      <c r="E7" s="411"/>
      <c r="F7" s="411"/>
      <c r="G7" s="411"/>
      <c r="H7" s="411"/>
      <c r="I7" s="411"/>
      <c r="J7" s="792">
        <f>IF(O8="","","Section")</f>
      </c>
      <c r="K7" s="793">
        <f>IF(O8="","",O8)</f>
      </c>
      <c r="L7" s="125"/>
      <c r="M7" s="125"/>
      <c r="O7" s="143"/>
      <c r="R7" s="497"/>
      <c r="S7" s="37">
        <f>IF(Bar!K$15&lt;6,0,MAX(Bar!E574/Bar!E575,Bar!I574/Bar!I575))</f>
        <v>0</v>
      </c>
    </row>
    <row r="8" spans="1:19" ht="15.75">
      <c r="A8" s="125"/>
      <c r="B8" s="264" t="s">
        <v>347</v>
      </c>
      <c r="C8" s="267"/>
      <c r="D8" s="272" t="s">
        <v>348</v>
      </c>
      <c r="E8" s="415" t="s">
        <v>350</v>
      </c>
      <c r="F8" s="331" t="s">
        <v>349</v>
      </c>
      <c r="G8" s="416" t="s">
        <v>351</v>
      </c>
      <c r="H8" s="265"/>
      <c r="I8" s="501" t="str">
        <f>IF(J17&gt;1500,"RIB CENTRES &gt; 1500",IF(MAX(O18:O23)&gt;4,"RIBS TOO SLENDER",IF(AND(R4=R2,S8&gt;1),"LINKS REQUIRED","")))</f>
        <v></v>
      </c>
      <c r="J8" s="265"/>
      <c r="K8" s="268"/>
      <c r="L8" s="125"/>
      <c r="M8" s="125"/>
      <c r="N8" s="775" t="s">
        <v>346</v>
      </c>
      <c r="O8" s="776"/>
      <c r="R8" s="499"/>
      <c r="S8" s="76">
        <f>MAX(S2:S7)</f>
        <v>1.2331931989320013</v>
      </c>
    </row>
    <row r="9" spans="1:15" ht="15.75">
      <c r="A9" s="409"/>
      <c r="B9" s="412"/>
      <c r="C9" s="413"/>
      <c r="D9" s="413"/>
      <c r="E9" s="413"/>
      <c r="F9" s="413"/>
      <c r="G9" s="413"/>
      <c r="H9" s="413"/>
      <c r="I9" s="413"/>
      <c r="J9" s="413"/>
      <c r="K9" s="414"/>
      <c r="L9" s="434" t="s">
        <v>384</v>
      </c>
      <c r="M9" s="434"/>
      <c r="O9" s="143"/>
    </row>
    <row r="10" spans="1:15" ht="16.5">
      <c r="A10" s="125"/>
      <c r="B10" s="264" t="s">
        <v>9</v>
      </c>
      <c r="C10" s="265"/>
      <c r="D10" s="265"/>
      <c r="E10" s="265"/>
      <c r="F10" s="265"/>
      <c r="G10" s="265"/>
      <c r="H10" s="774" t="s">
        <v>436</v>
      </c>
      <c r="I10" s="267"/>
      <c r="J10" s="265"/>
      <c r="K10" s="268"/>
      <c r="L10" s="434"/>
      <c r="M10" s="434"/>
      <c r="O10" s="128"/>
    </row>
    <row r="11" spans="1:13" ht="15.75">
      <c r="A11" s="125"/>
      <c r="B11" s="269" t="s">
        <v>10</v>
      </c>
      <c r="C11" s="270">
        <v>35</v>
      </c>
      <c r="D11" s="271" t="s">
        <v>11</v>
      </c>
      <c r="E11" s="272" t="s">
        <v>12</v>
      </c>
      <c r="F11" s="270">
        <v>20</v>
      </c>
      <c r="G11" s="271" t="s">
        <v>13</v>
      </c>
      <c r="H11" s="273"/>
      <c r="I11" s="272" t="s">
        <v>14</v>
      </c>
      <c r="J11" s="270">
        <v>20</v>
      </c>
      <c r="K11" s="274" t="s">
        <v>13</v>
      </c>
      <c r="L11" s="403" t="str">
        <f>IF(OR(C11&gt;99,C11&lt;25),"Unreasonable fcu","")</f>
        <v></v>
      </c>
      <c r="M11" s="403"/>
    </row>
    <row r="12" spans="1:13" ht="15.75">
      <c r="A12" s="125"/>
      <c r="B12" s="269" t="s">
        <v>15</v>
      </c>
      <c r="C12" s="270">
        <v>460</v>
      </c>
      <c r="D12" s="271" t="s">
        <v>11</v>
      </c>
      <c r="E12" s="275" t="s">
        <v>320</v>
      </c>
      <c r="F12" s="270">
        <v>1.05</v>
      </c>
      <c r="G12" s="271" t="s">
        <v>16</v>
      </c>
      <c r="H12" s="273"/>
      <c r="I12" s="272" t="s">
        <v>17</v>
      </c>
      <c r="J12" s="270">
        <v>20</v>
      </c>
      <c r="K12" s="274" t="s">
        <v>13</v>
      </c>
      <c r="L12" s="403" t="str">
        <f>IF(OR(MAX(C12:C13)&gt;500,MIN(C12:C13)&lt;250),"Check fy","")</f>
        <v></v>
      </c>
      <c r="M12" s="403"/>
    </row>
    <row r="13" spans="1:13" ht="15.75">
      <c r="A13" s="125"/>
      <c r="B13" s="269" t="s">
        <v>18</v>
      </c>
      <c r="C13" s="270">
        <f>C12</f>
        <v>460</v>
      </c>
      <c r="D13" s="271" t="s">
        <v>11</v>
      </c>
      <c r="E13" s="275" t="s">
        <v>320</v>
      </c>
      <c r="F13" s="773">
        <v>1.5</v>
      </c>
      <c r="G13" s="271" t="s">
        <v>19</v>
      </c>
      <c r="H13" s="273"/>
      <c r="I13" s="272" t="s">
        <v>20</v>
      </c>
      <c r="J13" s="270">
        <v>20</v>
      </c>
      <c r="K13" s="274" t="s">
        <v>13</v>
      </c>
      <c r="L13" s="403" t="str">
        <f>IF(MAX(J11:J13)&gt;40,"Cover &gt; 40 mm",IF(MIN(J11:J13)&lt;F11,"Cover &lt; h agg",""))</f>
        <v></v>
      </c>
      <c r="M13" s="403"/>
    </row>
    <row r="14" spans="1:13" ht="18.75">
      <c r="A14" s="125"/>
      <c r="B14" s="269" t="s">
        <v>21</v>
      </c>
      <c r="C14" s="270">
        <v>23.6</v>
      </c>
      <c r="D14" s="271" t="s">
        <v>22</v>
      </c>
      <c r="E14" s="404" t="str">
        <f>IF(C14&lt;20,"Lightweight","(Normal weight")&amp;" concrete)"</f>
        <v>(Normal weight concrete)</v>
      </c>
      <c r="F14" s="276"/>
      <c r="G14" s="277"/>
      <c r="H14" s="266" t="s">
        <v>23</v>
      </c>
      <c r="I14" s="267"/>
      <c r="J14" s="278"/>
      <c r="K14" s="279"/>
      <c r="L14" s="159"/>
      <c r="M14" s="159"/>
    </row>
    <row r="15" spans="1:13" ht="15.75">
      <c r="A15" s="125"/>
      <c r="B15" s="269"/>
      <c r="C15" s="276"/>
      <c r="D15" s="280"/>
      <c r="E15" s="277"/>
      <c r="F15" s="276"/>
      <c r="G15" s="277"/>
      <c r="H15" s="267"/>
      <c r="I15" s="272" t="s">
        <v>24</v>
      </c>
      <c r="J15" s="270">
        <v>100</v>
      </c>
      <c r="K15" s="274" t="s">
        <v>13</v>
      </c>
      <c r="L15" s="159"/>
      <c r="M15" s="159"/>
    </row>
    <row r="16" spans="1:13" ht="18">
      <c r="A16" s="125"/>
      <c r="B16" s="264" t="s">
        <v>25</v>
      </c>
      <c r="C16" s="281"/>
      <c r="D16" s="282"/>
      <c r="E16" s="161" t="s">
        <v>354</v>
      </c>
      <c r="F16" s="162"/>
      <c r="G16" s="283"/>
      <c r="H16" s="267"/>
      <c r="I16" s="272" t="s">
        <v>26</v>
      </c>
      <c r="J16" s="270">
        <v>150</v>
      </c>
      <c r="K16" s="274" t="s">
        <v>13</v>
      </c>
      <c r="L16" s="403" t="str">
        <f>IF(AND(AND(I22&lt;4,J21="C"),J22="C"),"Unbalanced Mechanism","")</f>
        <v></v>
      </c>
      <c r="M16" s="403"/>
    </row>
    <row r="17" spans="1:13" ht="15.75">
      <c r="A17" s="125"/>
      <c r="B17" s="284"/>
      <c r="C17" s="163" t="s">
        <v>352</v>
      </c>
      <c r="D17" s="166" t="s">
        <v>353</v>
      </c>
      <c r="E17" s="164" t="s">
        <v>27</v>
      </c>
      <c r="F17" s="165" t="s">
        <v>28</v>
      </c>
      <c r="G17" s="285"/>
      <c r="H17" s="267"/>
      <c r="I17" s="272" t="s">
        <v>29</v>
      </c>
      <c r="J17" s="270">
        <v>900</v>
      </c>
      <c r="K17" s="274" t="s">
        <v>13</v>
      </c>
      <c r="L17" s="403" t="str">
        <f>IF(AND(J22="C",I22=2),"Support 2 cannot be 'C'","")</f>
        <v></v>
      </c>
      <c r="M17" s="403"/>
    </row>
    <row r="18" spans="1:15" ht="15.75">
      <c r="A18" s="125"/>
      <c r="B18" s="269" t="s">
        <v>30</v>
      </c>
      <c r="C18" s="511">
        <v>2</v>
      </c>
      <c r="D18" s="27">
        <v>275</v>
      </c>
      <c r="E18" s="28">
        <v>450</v>
      </c>
      <c r="F18" s="27">
        <v>1100</v>
      </c>
      <c r="G18" s="286" t="str">
        <f aca="true" t="shared" si="0" ref="G18:G23">IF(AND(C18&gt;0,D18=0),"Enter H"," ")</f>
        <v> </v>
      </c>
      <c r="H18" s="267"/>
      <c r="I18" s="272" t="s">
        <v>31</v>
      </c>
      <c r="J18" s="270">
        <v>10</v>
      </c>
      <c r="K18" s="287" t="s">
        <v>32</v>
      </c>
      <c r="L18" s="403" t="str">
        <f>IF(MAX(C18:C20,C21:C23)&gt;20,"Span not sensible","")</f>
        <v></v>
      </c>
      <c r="M18" s="403"/>
      <c r="O18" s="503">
        <f aca="true" t="shared" si="1" ref="O18:O23">(D18-J$15)/J$16</f>
        <v>1.1666666666666667</v>
      </c>
    </row>
    <row r="19" spans="1:15" ht="15.75">
      <c r="A19" s="125"/>
      <c r="B19" s="269" t="s">
        <v>33</v>
      </c>
      <c r="C19" s="512">
        <v>7</v>
      </c>
      <c r="D19" s="29">
        <v>275</v>
      </c>
      <c r="E19" s="30">
        <v>1100</v>
      </c>
      <c r="F19" s="29">
        <v>1100</v>
      </c>
      <c r="G19" s="286" t="str">
        <f t="shared" si="0"/>
        <v> </v>
      </c>
      <c r="H19" s="774" t="s">
        <v>34</v>
      </c>
      <c r="I19" s="267"/>
      <c r="J19" s="267"/>
      <c r="K19" s="288"/>
      <c r="L19" s="434" t="s">
        <v>399</v>
      </c>
      <c r="M19" s="434"/>
      <c r="O19" s="503">
        <f t="shared" si="1"/>
        <v>1.1666666666666667</v>
      </c>
    </row>
    <row r="20" spans="1:15" ht="15.75">
      <c r="A20" s="125"/>
      <c r="B20" s="269" t="s">
        <v>35</v>
      </c>
      <c r="C20" s="512">
        <v>7.5</v>
      </c>
      <c r="D20" s="29">
        <v>275</v>
      </c>
      <c r="E20" s="30">
        <v>1100</v>
      </c>
      <c r="F20" s="29">
        <v>450</v>
      </c>
      <c r="G20" s="286" t="str">
        <f t="shared" si="0"/>
        <v> </v>
      </c>
      <c r="H20" s="267"/>
      <c r="I20" s="163" t="s">
        <v>36</v>
      </c>
      <c r="J20" s="166" t="s">
        <v>37</v>
      </c>
      <c r="K20" s="288"/>
      <c r="L20" s="688" t="s">
        <v>393</v>
      </c>
      <c r="M20" s="688"/>
      <c r="O20" s="503">
        <f t="shared" si="1"/>
        <v>1.1666666666666667</v>
      </c>
    </row>
    <row r="21" spans="1:15" ht="15.75">
      <c r="A21" s="125"/>
      <c r="B21" s="269" t="s">
        <v>38</v>
      </c>
      <c r="C21" s="523"/>
      <c r="D21" s="29"/>
      <c r="E21" s="30"/>
      <c r="F21" s="29"/>
      <c r="G21" s="286" t="str">
        <f t="shared" si="0"/>
        <v> </v>
      </c>
      <c r="H21" s="273"/>
      <c r="I21" s="167">
        <v>1</v>
      </c>
      <c r="J21" s="27" t="s">
        <v>458</v>
      </c>
      <c r="K21" s="288"/>
      <c r="L21" s="689">
        <v>1200</v>
      </c>
      <c r="M21" s="689"/>
      <c r="O21" s="503">
        <f t="shared" si="1"/>
        <v>-0.6666666666666666</v>
      </c>
    </row>
    <row r="22" spans="1:15" ht="15.75">
      <c r="A22" s="125"/>
      <c r="B22" s="269" t="s">
        <v>40</v>
      </c>
      <c r="C22" s="523"/>
      <c r="D22" s="29"/>
      <c r="E22" s="30"/>
      <c r="F22" s="29"/>
      <c r="G22" s="286" t="str">
        <f t="shared" si="0"/>
        <v> </v>
      </c>
      <c r="H22" s="289"/>
      <c r="I22" s="525">
        <f>COUNTIF(C18:C23,"&gt;0.001")+1</f>
        <v>4</v>
      </c>
      <c r="J22" s="33" t="s">
        <v>39</v>
      </c>
      <c r="K22" s="288"/>
      <c r="L22" s="403" t="str">
        <f>IF(AND(I$22&lt;3,SUM(D32:E34)&gt;0),"Remove loads from Span 2","")</f>
        <v></v>
      </c>
      <c r="M22" s="403"/>
      <c r="O22" s="503">
        <f t="shared" si="1"/>
        <v>-0.6666666666666666</v>
      </c>
    </row>
    <row r="23" spans="1:15" ht="15.75">
      <c r="A23" s="125"/>
      <c r="B23" s="269" t="s">
        <v>41</v>
      </c>
      <c r="C23" s="524"/>
      <c r="D23" s="33"/>
      <c r="E23" s="34"/>
      <c r="F23" s="33"/>
      <c r="G23" s="286" t="str">
        <f t="shared" si="0"/>
        <v> </v>
      </c>
      <c r="H23" s="267"/>
      <c r="J23" s="778" t="s">
        <v>438</v>
      </c>
      <c r="K23" s="291"/>
      <c r="L23" s="403" t="str">
        <f>IF(AND(I$22&lt;4,SUM(D36:E38)&gt;0),"Remove loads from Span 3","")</f>
        <v></v>
      </c>
      <c r="M23" s="403"/>
      <c r="O23" s="503">
        <f t="shared" si="1"/>
        <v>-0.6666666666666666</v>
      </c>
    </row>
    <row r="24" spans="1:13" ht="18.75">
      <c r="A24" s="125"/>
      <c r="B24" s="292"/>
      <c r="C24" s="293"/>
      <c r="D24" s="293"/>
      <c r="E24" s="293"/>
      <c r="F24" s="293"/>
      <c r="G24" s="293"/>
      <c r="H24" s="293"/>
      <c r="I24" s="293"/>
      <c r="J24" s="293"/>
      <c r="K24" s="294"/>
      <c r="L24" s="403"/>
      <c r="M24" s="403"/>
    </row>
    <row r="25" spans="1:13" ht="15.75">
      <c r="A25" s="125"/>
      <c r="B25" s="264" t="s">
        <v>42</v>
      </c>
      <c r="C25" s="295" t="s">
        <v>355</v>
      </c>
      <c r="D25" s="293"/>
      <c r="E25" s="293"/>
      <c r="F25" s="293"/>
      <c r="G25" s="293"/>
      <c r="H25" s="293"/>
      <c r="I25" s="293"/>
      <c r="J25" s="293"/>
      <c r="K25" s="294"/>
      <c r="L25" s="403"/>
      <c r="M25" s="403"/>
    </row>
    <row r="26" spans="1:13" ht="15.75">
      <c r="A26" s="125"/>
      <c r="B26" s="296"/>
      <c r="C26" s="170" t="s">
        <v>43</v>
      </c>
      <c r="D26" s="171" t="s">
        <v>44</v>
      </c>
      <c r="E26" s="171" t="s">
        <v>45</v>
      </c>
      <c r="F26" s="317" t="s">
        <v>46</v>
      </c>
      <c r="G26" s="315"/>
      <c r="H26" s="170" t="s">
        <v>43</v>
      </c>
      <c r="I26" s="171" t="s">
        <v>44</v>
      </c>
      <c r="J26" s="171" t="s">
        <v>45</v>
      </c>
      <c r="K26" s="297" t="s">
        <v>46</v>
      </c>
      <c r="L26" s="403"/>
      <c r="M26" s="403"/>
    </row>
    <row r="27" spans="1:13" ht="15.75">
      <c r="A27" s="125"/>
      <c r="B27" s="298" t="s">
        <v>142</v>
      </c>
      <c r="C27" s="164" t="s">
        <v>48</v>
      </c>
      <c r="D27" s="172" t="s">
        <v>49</v>
      </c>
      <c r="E27" s="172" t="s">
        <v>49</v>
      </c>
      <c r="F27" s="165" t="s">
        <v>50</v>
      </c>
      <c r="G27" s="316" t="s">
        <v>336</v>
      </c>
      <c r="H27" s="164" t="s">
        <v>48</v>
      </c>
      <c r="I27" s="172" t="s">
        <v>49</v>
      </c>
      <c r="J27" s="172" t="s">
        <v>49</v>
      </c>
      <c r="K27" s="299" t="s">
        <v>50</v>
      </c>
      <c r="L27" s="403"/>
      <c r="M27" s="403"/>
    </row>
    <row r="28" spans="1:13" ht="15.75">
      <c r="A28" s="125"/>
      <c r="B28" s="269" t="s">
        <v>52</v>
      </c>
      <c r="C28" s="507">
        <f>Analysis!D14</f>
        <v>5.7336937500000005</v>
      </c>
      <c r="D28" s="509">
        <v>2.5</v>
      </c>
      <c r="E28" s="509">
        <v>4</v>
      </c>
      <c r="F28" s="513" t="s">
        <v>53</v>
      </c>
      <c r="G28" s="272" t="s">
        <v>54</v>
      </c>
      <c r="H28" s="507">
        <f>IF(C21&lt;0.001,0,Analysis!G14)</f>
        <v>0</v>
      </c>
      <c r="I28" s="508"/>
      <c r="J28" s="508"/>
      <c r="K28" s="518" t="s">
        <v>53</v>
      </c>
      <c r="L28" s="403" t="str">
        <f>IF(AND(I$22&lt;5,SUM(I28:J30)&gt;0),"Remove loads from Span 4","")</f>
        <v></v>
      </c>
      <c r="M28" s="403"/>
    </row>
    <row r="29" spans="1:13" ht="15.75">
      <c r="A29" s="125"/>
      <c r="B29" s="269" t="s">
        <v>55</v>
      </c>
      <c r="C29" s="507" t="s">
        <v>53</v>
      </c>
      <c r="D29" s="509"/>
      <c r="E29" s="509"/>
      <c r="F29" s="514"/>
      <c r="G29" s="272" t="s">
        <v>56</v>
      </c>
      <c r="H29" s="507" t="s">
        <v>422</v>
      </c>
      <c r="I29" s="509"/>
      <c r="J29" s="509"/>
      <c r="K29" s="519"/>
      <c r="L29" s="403" t="str">
        <f>IF(OR(OR(OR(F29&gt;C18,F30&gt;C18),K29&gt;C21),K30&gt;C21),"PL off span","")</f>
        <v></v>
      </c>
      <c r="M29" s="403"/>
    </row>
    <row r="30" spans="1:13" ht="15.75">
      <c r="A30" s="125"/>
      <c r="B30" s="269" t="s">
        <v>57</v>
      </c>
      <c r="C30" s="507" t="s">
        <v>53</v>
      </c>
      <c r="D30" s="509">
        <v>0</v>
      </c>
      <c r="E30" s="509"/>
      <c r="F30" s="514">
        <v>0</v>
      </c>
      <c r="G30" s="272" t="s">
        <v>58</v>
      </c>
      <c r="H30" s="507" t="s">
        <v>422</v>
      </c>
      <c r="I30" s="509"/>
      <c r="J30" s="509"/>
      <c r="K30" s="519">
        <v>0</v>
      </c>
      <c r="L30" s="403" t="str">
        <f>IF(OR(AND(F30&lt;F29,D30+E30&gt;0),AND(K30&lt;K29,I30+J30&gt;0)),"PL2 must be right of PL1","")</f>
        <v></v>
      </c>
      <c r="M30" s="403"/>
    </row>
    <row r="31" spans="1:13" ht="15.75">
      <c r="A31" s="125"/>
      <c r="B31" s="298" t="s">
        <v>334</v>
      </c>
      <c r="C31" s="507" t="s">
        <v>423</v>
      </c>
      <c r="D31" s="679" t="s">
        <v>423</v>
      </c>
      <c r="E31" s="679" t="s">
        <v>423</v>
      </c>
      <c r="F31" s="515" t="s">
        <v>423</v>
      </c>
      <c r="G31" s="316" t="s">
        <v>337</v>
      </c>
      <c r="H31" s="507" t="s">
        <v>423</v>
      </c>
      <c r="I31" s="679" t="s">
        <v>423</v>
      </c>
      <c r="J31" s="679" t="s">
        <v>423</v>
      </c>
      <c r="K31" s="520" t="s">
        <v>423</v>
      </c>
      <c r="L31" s="403"/>
      <c r="M31" s="403"/>
    </row>
    <row r="32" spans="1:13" ht="15.75">
      <c r="A32" s="125"/>
      <c r="B32" s="269" t="s">
        <v>52</v>
      </c>
      <c r="C32" s="507">
        <f>IF(C19&lt;0.001,0,Analysis!E14)</f>
        <v>4.185066666666668</v>
      </c>
      <c r="D32" s="509">
        <v>2.5</v>
      </c>
      <c r="E32" s="509">
        <v>4</v>
      </c>
      <c r="F32" s="516" t="s">
        <v>53</v>
      </c>
      <c r="G32" s="272" t="s">
        <v>54</v>
      </c>
      <c r="H32" s="507">
        <f>IF(C22&lt;0.001,0,Analysis!H14)</f>
        <v>0</v>
      </c>
      <c r="I32" s="509">
        <f>I28</f>
        <v>0</v>
      </c>
      <c r="J32" s="509">
        <f>J28</f>
        <v>0</v>
      </c>
      <c r="K32" s="521"/>
      <c r="L32" s="403" t="str">
        <f>IF(AND(I$22&lt;6,SUM(I32:J34)&gt;0),"Remove loads from Span 5","")</f>
        <v></v>
      </c>
      <c r="M32" s="403"/>
    </row>
    <row r="33" spans="1:13" ht="15.75">
      <c r="A33" s="125"/>
      <c r="B33" s="269" t="s">
        <v>55</v>
      </c>
      <c r="C33" s="507" t="s">
        <v>53</v>
      </c>
      <c r="D33" s="509">
        <v>8.5</v>
      </c>
      <c r="E33" s="509">
        <v>1</v>
      </c>
      <c r="F33" s="514">
        <v>1.45</v>
      </c>
      <c r="G33" s="272" t="s">
        <v>56</v>
      </c>
      <c r="H33" s="507" t="s">
        <v>422</v>
      </c>
      <c r="I33" s="509"/>
      <c r="J33" s="509"/>
      <c r="K33" s="519"/>
      <c r="L33" s="403" t="str">
        <f>IF(OR(OR(OR(F33&gt;C19,F34&gt;C19),K33&gt;C22),K34&gt;C22),"PL off span","")</f>
        <v></v>
      </c>
      <c r="M33" s="403"/>
    </row>
    <row r="34" spans="1:13" ht="15.75">
      <c r="A34" s="125"/>
      <c r="B34" s="269" t="s">
        <v>57</v>
      </c>
      <c r="C34" s="507" t="s">
        <v>53</v>
      </c>
      <c r="D34" s="509"/>
      <c r="E34" s="509"/>
      <c r="F34" s="514"/>
      <c r="G34" s="272" t="s">
        <v>58</v>
      </c>
      <c r="H34" s="507" t="s">
        <v>422</v>
      </c>
      <c r="I34" s="509"/>
      <c r="J34" s="509"/>
      <c r="K34" s="519"/>
      <c r="L34" s="403" t="str">
        <f>IF(OR(AND(F34&lt;F33,D34+E34&gt;0),AND(K34&lt;K33,I34+J34&gt;0)),"PL2 must be right of PL1","")</f>
        <v></v>
      </c>
      <c r="M34" s="403"/>
    </row>
    <row r="35" spans="1:13" ht="15.75">
      <c r="A35" s="125"/>
      <c r="B35" s="298" t="s">
        <v>335</v>
      </c>
      <c r="C35" s="507" t="s">
        <v>423</v>
      </c>
      <c r="D35" s="679" t="s">
        <v>423</v>
      </c>
      <c r="E35" s="679" t="s">
        <v>423</v>
      </c>
      <c r="F35" s="515" t="s">
        <v>423</v>
      </c>
      <c r="G35" s="316" t="s">
        <v>338</v>
      </c>
      <c r="H35" s="507" t="s">
        <v>423</v>
      </c>
      <c r="I35" s="679" t="s">
        <v>423</v>
      </c>
      <c r="J35" s="679" t="s">
        <v>423</v>
      </c>
      <c r="K35" s="520" t="s">
        <v>423</v>
      </c>
      <c r="L35" s="403"/>
      <c r="M35" s="403"/>
    </row>
    <row r="36" spans="1:13" ht="15.75">
      <c r="A36" s="125"/>
      <c r="B36" s="269" t="s">
        <v>52</v>
      </c>
      <c r="C36" s="507">
        <f>IF(C20&lt;0.001,0,Analysis!F14)</f>
        <v>3.8233201851851857</v>
      </c>
      <c r="D36" s="509">
        <v>2.5</v>
      </c>
      <c r="E36" s="509">
        <v>4</v>
      </c>
      <c r="F36" s="516" t="s">
        <v>53</v>
      </c>
      <c r="G36" s="272" t="s">
        <v>54</v>
      </c>
      <c r="H36" s="507">
        <f>IF(C23&lt;0.001,0,Analysis!I14)</f>
        <v>0</v>
      </c>
      <c r="I36" s="509">
        <f>I32</f>
        <v>0</v>
      </c>
      <c r="J36" s="509">
        <f>J32</f>
        <v>0</v>
      </c>
      <c r="K36" s="521" t="s">
        <v>53</v>
      </c>
      <c r="L36" s="403" t="str">
        <f>IF(AND(I$22&lt;7,SUM(I36:J38)&gt;0),"Remove loads from Span 6","")</f>
        <v></v>
      </c>
      <c r="M36" s="403"/>
    </row>
    <row r="37" spans="1:13" ht="15.75">
      <c r="A37" s="125"/>
      <c r="B37" s="269" t="s">
        <v>55</v>
      </c>
      <c r="C37" s="507" t="s">
        <v>53</v>
      </c>
      <c r="D37" s="509"/>
      <c r="E37" s="509"/>
      <c r="F37" s="514">
        <v>0</v>
      </c>
      <c r="G37" s="272" t="s">
        <v>56</v>
      </c>
      <c r="H37" s="507" t="s">
        <v>53</v>
      </c>
      <c r="I37" s="509"/>
      <c r="J37" s="509"/>
      <c r="K37" s="519">
        <v>0</v>
      </c>
      <c r="L37" s="403" t="str">
        <f>IF(OR(OR(OR(F37&gt;C20,F38&gt;C20),K37&gt;C23),K38&gt;C23),"PL off span","")</f>
        <v></v>
      </c>
      <c r="M37" s="403"/>
    </row>
    <row r="38" spans="1:13" ht="15.75">
      <c r="A38" s="125"/>
      <c r="B38" s="269" t="s">
        <v>57</v>
      </c>
      <c r="C38" s="680" t="s">
        <v>53</v>
      </c>
      <c r="D38" s="510"/>
      <c r="E38" s="510"/>
      <c r="F38" s="517">
        <v>0</v>
      </c>
      <c r="G38" s="272" t="s">
        <v>58</v>
      </c>
      <c r="H38" s="680" t="s">
        <v>53</v>
      </c>
      <c r="I38" s="510"/>
      <c r="J38" s="510"/>
      <c r="K38" s="522"/>
      <c r="L38" s="403" t="str">
        <f>IF(OR(AND(F38&lt;F37,D38+E38&gt;0),AND(K38&lt;K37,I38+J38&gt;0)),"PL2 must be right of PL1","")</f>
        <v></v>
      </c>
      <c r="M38" s="403"/>
    </row>
    <row r="39" spans="1:13" ht="15.75">
      <c r="A39" s="125"/>
      <c r="B39" s="301"/>
      <c r="C39" s="267"/>
      <c r="D39" s="267"/>
      <c r="E39" s="267"/>
      <c r="F39" s="267"/>
      <c r="G39" s="267"/>
      <c r="H39" s="267"/>
      <c r="I39" s="267"/>
      <c r="J39" s="267"/>
      <c r="K39" s="302"/>
      <c r="L39" s="159"/>
      <c r="M39" s="159"/>
    </row>
    <row r="40" spans="1:13" ht="15.75">
      <c r="A40" s="125"/>
      <c r="B40" s="303"/>
      <c r="C40" s="267"/>
      <c r="D40" s="267"/>
      <c r="E40" s="267"/>
      <c r="F40" s="266" t="s">
        <v>63</v>
      </c>
      <c r="G40" s="285"/>
      <c r="H40" s="174" t="s">
        <v>64</v>
      </c>
      <c r="I40" s="175" t="s">
        <v>65</v>
      </c>
      <c r="J40" s="265"/>
      <c r="K40" s="268"/>
      <c r="L40" s="159"/>
      <c r="M40" s="159"/>
    </row>
    <row r="41" spans="1:13" ht="15.75">
      <c r="A41" s="125"/>
      <c r="B41" s="303"/>
      <c r="C41" s="267"/>
      <c r="D41" s="267"/>
      <c r="E41" s="267"/>
      <c r="F41" s="265"/>
      <c r="G41" s="272" t="s">
        <v>66</v>
      </c>
      <c r="H41" s="28">
        <v>1</v>
      </c>
      <c r="I41" s="27">
        <v>1.4</v>
      </c>
      <c r="J41" s="265"/>
      <c r="K41" s="268"/>
      <c r="L41" s="159"/>
      <c r="M41" s="159"/>
    </row>
    <row r="42" spans="1:13" ht="15.75">
      <c r="A42" s="125"/>
      <c r="B42" s="303"/>
      <c r="C42" s="267"/>
      <c r="D42" s="267"/>
      <c r="E42" s="267"/>
      <c r="F42" s="265"/>
      <c r="G42" s="272" t="s">
        <v>67</v>
      </c>
      <c r="H42" s="176">
        <v>0</v>
      </c>
      <c r="I42" s="33">
        <v>1.6</v>
      </c>
      <c r="J42" s="265"/>
      <c r="K42" s="268"/>
      <c r="L42" s="159"/>
      <c r="M42" s="159"/>
    </row>
    <row r="43" spans="1:13" ht="15.75">
      <c r="A43" s="125"/>
      <c r="B43" s="264" t="s">
        <v>68</v>
      </c>
      <c r="C43" s="267"/>
      <c r="D43" s="267"/>
      <c r="E43" s="267"/>
      <c r="F43" s="267"/>
      <c r="G43" s="267"/>
      <c r="H43" s="267"/>
      <c r="I43" s="267"/>
      <c r="J43" s="267"/>
      <c r="K43" s="302"/>
      <c r="L43" s="159"/>
      <c r="M43" s="159"/>
    </row>
    <row r="44" spans="1:13" ht="15.75">
      <c r="A44" s="125"/>
      <c r="B44" s="304"/>
      <c r="C44" s="267"/>
      <c r="D44" s="267"/>
      <c r="E44" s="267"/>
      <c r="F44" s="267"/>
      <c r="G44" s="267"/>
      <c r="H44" s="267"/>
      <c r="I44" s="267"/>
      <c r="J44" s="267"/>
      <c r="K44" s="302"/>
      <c r="L44" s="159"/>
      <c r="M44" s="159"/>
    </row>
    <row r="45" spans="1:13" ht="15.75">
      <c r="A45" s="125"/>
      <c r="B45" s="304"/>
      <c r="C45" s="267"/>
      <c r="D45" s="267"/>
      <c r="E45" s="267"/>
      <c r="F45" s="267"/>
      <c r="G45" s="267"/>
      <c r="H45" s="267"/>
      <c r="I45" s="267"/>
      <c r="J45" s="267"/>
      <c r="K45" s="302"/>
      <c r="L45" s="159"/>
      <c r="M45" s="159"/>
    </row>
    <row r="46" spans="1:13" ht="15.75">
      <c r="A46" s="125"/>
      <c r="B46" s="305"/>
      <c r="C46" s="306"/>
      <c r="D46" s="306"/>
      <c r="E46" s="306"/>
      <c r="F46" s="306"/>
      <c r="G46" s="306"/>
      <c r="H46" s="267"/>
      <c r="I46" s="267"/>
      <c r="J46" s="267"/>
      <c r="K46" s="302"/>
      <c r="L46" s="159"/>
      <c r="M46" s="159"/>
    </row>
    <row r="47" spans="1:13" ht="15.75">
      <c r="A47" s="125"/>
      <c r="B47" s="305"/>
      <c r="C47" s="306"/>
      <c r="D47" s="306"/>
      <c r="E47" s="306"/>
      <c r="F47" s="306"/>
      <c r="G47" s="306"/>
      <c r="H47" s="267"/>
      <c r="I47" s="267"/>
      <c r="J47" s="267"/>
      <c r="K47" s="302"/>
      <c r="L47" s="159"/>
      <c r="M47" s="159"/>
    </row>
    <row r="48" spans="1:13" ht="15.75">
      <c r="A48" s="125"/>
      <c r="B48" s="305"/>
      <c r="C48" s="306"/>
      <c r="D48" s="306"/>
      <c r="E48" s="306"/>
      <c r="F48" s="306"/>
      <c r="G48" s="306"/>
      <c r="H48" s="267"/>
      <c r="I48" s="267"/>
      <c r="J48" s="267"/>
      <c r="K48" s="302"/>
      <c r="L48" s="159"/>
      <c r="M48" s="159"/>
    </row>
    <row r="49" spans="1:13" ht="15.75">
      <c r="A49" s="125"/>
      <c r="B49" s="307"/>
      <c r="C49" s="308"/>
      <c r="D49" s="308"/>
      <c r="E49" s="308"/>
      <c r="F49" s="308"/>
      <c r="G49" s="308"/>
      <c r="H49" s="308"/>
      <c r="I49" s="308"/>
      <c r="J49" s="308"/>
      <c r="K49" s="309"/>
      <c r="L49" s="159"/>
      <c r="M49" s="159"/>
    </row>
    <row r="50" spans="1:13" ht="18">
      <c r="A50" s="125"/>
      <c r="B50" s="430" t="str">
        <f>E8</f>
        <v>1</v>
      </c>
      <c r="C50" s="431"/>
      <c r="D50" s="431"/>
      <c r="E50" s="431"/>
      <c r="F50" s="431"/>
      <c r="G50" s="431"/>
      <c r="H50" s="431"/>
      <c r="I50" s="431"/>
      <c r="J50" s="431"/>
      <c r="K50" s="432" t="str">
        <f>G8</f>
        <v>5a</v>
      </c>
      <c r="L50" s="159"/>
      <c r="M50" s="159"/>
    </row>
    <row r="51" spans="1:13" ht="21">
      <c r="A51" s="433"/>
      <c r="B51" s="264" t="s">
        <v>343</v>
      </c>
      <c r="C51" s="285"/>
      <c r="D51" s="285"/>
      <c r="E51" s="285"/>
      <c r="F51" s="285"/>
      <c r="G51" s="285"/>
      <c r="H51" s="310"/>
      <c r="I51" s="310"/>
      <c r="J51" s="310"/>
      <c r="K51" s="302"/>
      <c r="L51" s="159"/>
      <c r="M51" s="159"/>
    </row>
    <row r="52" spans="1:13" ht="18.75">
      <c r="A52" s="125"/>
      <c r="B52" s="292"/>
      <c r="C52" s="417" t="s">
        <v>69</v>
      </c>
      <c r="D52" s="420">
        <f>ACTIONS!D22</f>
        <v>1</v>
      </c>
      <c r="E52" s="421">
        <f>ACTIONS!E22</f>
        <v>2</v>
      </c>
      <c r="F52" s="421">
        <f>ACTIONS!F22</f>
        <v>3</v>
      </c>
      <c r="G52" s="421">
        <f>ACTIONS!G22</f>
        <v>4</v>
      </c>
      <c r="H52" s="421" t="str">
        <f>ACTIONS!H22</f>
        <v> </v>
      </c>
      <c r="I52" s="421" t="str">
        <f>ACTIONS!I22</f>
        <v> </v>
      </c>
      <c r="J52" s="422" t="str">
        <f>ACTIONS!J22</f>
        <v> </v>
      </c>
      <c r="K52" s="302"/>
      <c r="L52" s="177" t="s">
        <v>70</v>
      </c>
      <c r="M52" s="177"/>
    </row>
    <row r="53" spans="1:13" ht="15.75">
      <c r="A53" s="125"/>
      <c r="B53" s="311"/>
      <c r="C53" s="418" t="s">
        <v>356</v>
      </c>
      <c r="D53" s="703">
        <f>Analysis!C149</f>
        <v>0</v>
      </c>
      <c r="E53" s="704">
        <f>SUM(Analysis!E149:F149)</f>
        <v>43.00881890888899</v>
      </c>
      <c r="F53" s="704">
        <f>IF(F52=" ","~",SUM(Analysis!H149:I149))</f>
        <v>58.01801941503685</v>
      </c>
      <c r="G53" s="704">
        <f>IF(G52=" ","~",SUM(Analysis!K149+Analysis!C154))</f>
        <v>18.16091723162972</v>
      </c>
      <c r="H53" s="704" t="str">
        <f>IF(H52=" ","~",SUM(Analysis!E154:F154))</f>
        <v>~</v>
      </c>
      <c r="I53" s="704" t="str">
        <f>IF(I52=" ","~",SUM(Analysis!H154:I154))</f>
        <v>~</v>
      </c>
      <c r="J53" s="705" t="str">
        <f>IF(J52=" ","~",Analysis!K154)</f>
        <v>~</v>
      </c>
      <c r="K53" s="312"/>
      <c r="L53" s="181">
        <f>WEIGHT!E51</f>
        <v>12.477602065233672</v>
      </c>
      <c r="M53" s="181"/>
    </row>
    <row r="54" spans="1:13" ht="15.75">
      <c r="A54" s="125"/>
      <c r="B54" s="311"/>
      <c r="C54" s="418" t="s">
        <v>357</v>
      </c>
      <c r="D54" s="706">
        <f>MAX(Analysis!C161:C163)</f>
        <v>0</v>
      </c>
      <c r="E54" s="707">
        <f>IF(E52=" ",E52,MAX(Analysis!D161:D163))</f>
        <v>21.707526463053508</v>
      </c>
      <c r="F54" s="707">
        <f>IF(F52=" ","~",MAX(Analysis!E161:E163))</f>
        <v>32.37211550476325</v>
      </c>
      <c r="G54" s="707">
        <f>IF(G52=" ","~",MAX(Analysis!F161:F163))</f>
        <v>13.203735025664296</v>
      </c>
      <c r="H54" s="707" t="str">
        <f>IF(H52=" ","~",MAX(Analysis!G161:G163))</f>
        <v>~</v>
      </c>
      <c r="I54" s="707" t="str">
        <f>IF(I52=" ","~",MAX(Analysis!H161:H163))</f>
        <v>~</v>
      </c>
      <c r="J54" s="708" t="str">
        <f>IF(J52=" ","~",MAX(Analysis!I161:I163))</f>
        <v>~</v>
      </c>
      <c r="K54" s="312"/>
      <c r="L54" s="177" t="s">
        <v>72</v>
      </c>
      <c r="M54" s="177"/>
    </row>
    <row r="55" spans="1:13" ht="15.75">
      <c r="A55" s="125"/>
      <c r="B55" s="311"/>
      <c r="C55" s="418" t="s">
        <v>358</v>
      </c>
      <c r="D55" s="706">
        <f>MIN(Analysis!C161:C163)</f>
        <v>0</v>
      </c>
      <c r="E55" s="707">
        <f>IF(E52=" ",E52,MIN(Analysis!D161:D163))</f>
        <v>-0.31596723440729946</v>
      </c>
      <c r="F55" s="707">
        <f>IF(F52=" ","~",MIN(Analysis!E161:E163))</f>
        <v>11.28836554207635</v>
      </c>
      <c r="G55" s="707">
        <f>IF(G52=" ","~",MIN(Analysis!F161:F163))</f>
        <v>-7.792498003920145</v>
      </c>
      <c r="H55" s="707" t="str">
        <f>IF(H52=" ","~",MIN(Analysis!G161:G163))</f>
        <v>~</v>
      </c>
      <c r="I55" s="707" t="str">
        <f>IF(I52=" ","~",MIN(Analysis!H161:H163))</f>
        <v>~</v>
      </c>
      <c r="J55" s="708" t="str">
        <f>IF(J52=" ","~",MIN(Analysis!I161:I163))</f>
        <v>~</v>
      </c>
      <c r="K55" s="312"/>
      <c r="L55" s="159"/>
      <c r="M55" s="159"/>
    </row>
    <row r="56" spans="1:13" ht="16.5" thickBot="1">
      <c r="A56" s="125"/>
      <c r="B56" s="313"/>
      <c r="C56" s="419" t="s">
        <v>73</v>
      </c>
      <c r="D56" s="709">
        <f>MAX(Analysis!C150:C152)</f>
        <v>0</v>
      </c>
      <c r="E56" s="710">
        <f>IF(E52=" ",E52,MAX(Analysis!E150+Analysis!F150,Analysis!E151+Analysis!F151,Analysis!E152+Analysis!F152))</f>
        <v>94.94438881333019</v>
      </c>
      <c r="F56" s="710">
        <f>IF(F52=" ","~",MAX(Analysis!H150+Analysis!I150,Analysis!H151+Analysis!I151,Analysis!H152+Analysis!I152))</f>
        <v>133.02061198867278</v>
      </c>
      <c r="G56" s="710">
        <f>IF(G52=" ","~",MAX(Analysis!K150+Analysis!C155,Analysis!K151+Analysis!C156,Analysis!K152+Analysis!C157))</f>
        <v>46.55126016534448</v>
      </c>
      <c r="H56" s="710" t="str">
        <f>IF(H52=" ","~",MAX(Analysis!E155+Analysis!F155,Analysis!E156+Analysis!F156,Analysis!E157+Analysis!F157))</f>
        <v>~</v>
      </c>
      <c r="I56" s="710" t="str">
        <f>IF(I52=" ","~",MAX(Analysis!H155+Analysis!I155,Analysis!H156+Analysis!I156,Analysis!H157+Analysis!I157))</f>
        <v>~</v>
      </c>
      <c r="J56" s="711" t="str">
        <f>IF(J52=" ","~",MAX(Analysis!K155:K157))</f>
        <v>~</v>
      </c>
      <c r="K56" s="314"/>
      <c r="L56" s="159"/>
      <c r="M56" s="159"/>
    </row>
    <row r="57" spans="1:13" ht="19.5" thickTop="1">
      <c r="A57" s="124"/>
      <c r="B57" s="124"/>
      <c r="C57" s="124"/>
      <c r="D57" s="124"/>
      <c r="E57" s="124"/>
      <c r="F57" s="125"/>
      <c r="G57" s="125"/>
      <c r="H57" s="125"/>
      <c r="I57" s="125"/>
      <c r="J57" s="125"/>
      <c r="K57" s="125"/>
      <c r="L57" s="125"/>
      <c r="M57" s="125"/>
    </row>
  </sheetData>
  <sheetProtection sheet="1" objects="1" scenarios="1"/>
  <conditionalFormatting sqref="E49">
    <cfRule type="cellIs" priority="1" dxfId="0" operator="equal" stopIfTrue="1">
      <formula>0</formula>
    </cfRule>
  </conditionalFormatting>
  <conditionalFormatting sqref="L11:M13 L16:M18 L22:M38">
    <cfRule type="cellIs" priority="2" dxfId="1" operator="equal" stopIfTrue="1">
      <formula>""</formula>
    </cfRule>
  </conditionalFormatting>
  <conditionalFormatting sqref="D19:F23">
    <cfRule type="expression" priority="3" dxfId="2" stopIfTrue="1">
      <formula>$C19=0</formula>
    </cfRule>
  </conditionalFormatting>
  <conditionalFormatting sqref="F29:F30">
    <cfRule type="cellIs" priority="4" dxfId="3" operator="greaterThan" stopIfTrue="1">
      <formula>$C$18</formula>
    </cfRule>
  </conditionalFormatting>
  <conditionalFormatting sqref="D32:E34 C32">
    <cfRule type="expression" priority="5" dxfId="2" stopIfTrue="1">
      <formula>$C$19=0</formula>
    </cfRule>
  </conditionalFormatting>
  <conditionalFormatting sqref="F33:F34">
    <cfRule type="expression" priority="6" dxfId="2" stopIfTrue="1">
      <formula>$C$19=0</formula>
    </cfRule>
    <cfRule type="cellIs" priority="7" dxfId="3" operator="greaterThan" stopIfTrue="1">
      <formula>$C$19</formula>
    </cfRule>
  </conditionalFormatting>
  <conditionalFormatting sqref="D36:E38 C36">
    <cfRule type="expression" priority="8" dxfId="2" stopIfTrue="1">
      <formula>$C$20=0</formula>
    </cfRule>
  </conditionalFormatting>
  <conditionalFormatting sqref="F37:F38">
    <cfRule type="expression" priority="9" dxfId="2" stopIfTrue="1">
      <formula>$C$20=0</formula>
    </cfRule>
    <cfRule type="cellIs" priority="10" dxfId="3" operator="greaterThan" stopIfTrue="1">
      <formula>$C$20</formula>
    </cfRule>
  </conditionalFormatting>
  <conditionalFormatting sqref="J28:J30 I29:I30 H28:I28">
    <cfRule type="expression" priority="11" dxfId="2" stopIfTrue="1">
      <formula>$C$21=0</formula>
    </cfRule>
  </conditionalFormatting>
  <conditionalFormatting sqref="K29:K30">
    <cfRule type="expression" priority="12" dxfId="2" stopIfTrue="1">
      <formula>$C$21=0</formula>
    </cfRule>
    <cfRule type="cellIs" priority="13" dxfId="3" operator="greaterThan" stopIfTrue="1">
      <formula>$C$21</formula>
    </cfRule>
  </conditionalFormatting>
  <conditionalFormatting sqref="I32:J34 H32">
    <cfRule type="expression" priority="14" dxfId="2" stopIfTrue="1">
      <formula>$C$22=0</formula>
    </cfRule>
  </conditionalFormatting>
  <conditionalFormatting sqref="K33:K34">
    <cfRule type="expression" priority="15" dxfId="2" stopIfTrue="1">
      <formula>$C$22=0</formula>
    </cfRule>
    <cfRule type="cellIs" priority="16" dxfId="3" operator="greaterThan" stopIfTrue="1">
      <formula>$C$22</formula>
    </cfRule>
  </conditionalFormatting>
  <conditionalFormatting sqref="I36:J38 H36">
    <cfRule type="expression" priority="17" dxfId="2" stopIfTrue="1">
      <formula>$C$23=0</formula>
    </cfRule>
  </conditionalFormatting>
  <conditionalFormatting sqref="K37:K38">
    <cfRule type="expression" priority="18" dxfId="2" stopIfTrue="1">
      <formula>$C$23=0</formula>
    </cfRule>
    <cfRule type="cellIs" priority="19" dxfId="3" operator="greaterThan" stopIfTrue="1">
      <formula>$C$23</formula>
    </cfRule>
  </conditionalFormatting>
  <conditionalFormatting sqref="I8">
    <cfRule type="cellIs" priority="20" dxfId="4" operator="equal" stopIfTrue="1">
      <formula>""</formula>
    </cfRule>
  </conditionalFormatting>
  <conditionalFormatting sqref="C37:C38 F36">
    <cfRule type="expression" priority="21" dxfId="5" stopIfTrue="1">
      <formula>$C$20=0</formula>
    </cfRule>
  </conditionalFormatting>
  <conditionalFormatting sqref="K28 H30">
    <cfRule type="expression" priority="22" dxfId="5" stopIfTrue="1">
      <formula>$C$21=0</formula>
    </cfRule>
  </conditionalFormatting>
  <conditionalFormatting sqref="C33:C34 F32">
    <cfRule type="expression" priority="23" dxfId="5" stopIfTrue="1">
      <formula>$C$19=0</formula>
    </cfRule>
  </conditionalFormatting>
  <conditionalFormatting sqref="K32 H33:H34">
    <cfRule type="expression" priority="24" dxfId="5" stopIfTrue="1">
      <formula>$C$22=0</formula>
    </cfRule>
  </conditionalFormatting>
  <conditionalFormatting sqref="K36 H37:H38">
    <cfRule type="expression" priority="25" dxfId="5" stopIfTrue="1">
      <formula>$C$23=0</formula>
    </cfRule>
  </conditionalFormatting>
  <conditionalFormatting sqref="H29">
    <cfRule type="expression" priority="26" dxfId="6" stopIfTrue="1">
      <formula>$C$21=0</formula>
    </cfRule>
  </conditionalFormatting>
  <conditionalFormatting sqref="C18:C23">
    <cfRule type="cellIs" priority="27" dxfId="2" operator="equal" stopIfTrue="1">
      <formula>0</formula>
    </cfRule>
  </conditionalFormatting>
  <conditionalFormatting sqref="L20:M20">
    <cfRule type="expression" priority="28" dxfId="7" stopIfTrue="1">
      <formula>LEFT(R4,1)="N"</formula>
    </cfRule>
  </conditionalFormatting>
  <conditionalFormatting sqref="L21:M21">
    <cfRule type="expression" priority="29" dxfId="8" stopIfTrue="1">
      <formula>LEFT(R4,1)="N"</formula>
    </cfRule>
  </conditionalFormatting>
  <printOptions horizontalCentered="1"/>
  <pageMargins left="0.6299212598425197" right="0.3937007874015748" top="0.4724409448818898" bottom="0.4724409448818898" header="0" footer="0"/>
  <pageSetup fitToHeight="1" fitToWidth="1" horizontalDpi="300" verticalDpi="3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H58"/>
  <sheetViews>
    <sheetView showGridLines="0" zoomScale="75" zoomScaleNormal="75" workbookViewId="0" topLeftCell="A1">
      <selection activeCell="A1" sqref="A1"/>
    </sheetView>
  </sheetViews>
  <sheetFormatPr defaultColWidth="9.140625" defaultRowHeight="12.75"/>
  <cols>
    <col min="1" max="1" width="4.421875" style="127" customWidth="1"/>
    <col min="2" max="2" width="16.8515625" style="127" customWidth="1"/>
    <col min="3" max="4" width="11.7109375" style="127" customWidth="1"/>
    <col min="5" max="6" width="11.7109375" style="158" customWidth="1"/>
    <col min="7" max="11" width="11.7109375" style="127" customWidth="1"/>
    <col min="12" max="12" width="57.57421875" style="127" customWidth="1"/>
    <col min="13" max="16384" width="9.140625" style="127" customWidth="1"/>
  </cols>
  <sheetData>
    <row r="1" spans="1:13" ht="19.5" thickBot="1">
      <c r="A1" s="125"/>
      <c r="B1" s="125"/>
      <c r="C1" s="125"/>
      <c r="D1" s="125"/>
      <c r="E1" s="125"/>
      <c r="F1" s="125"/>
      <c r="G1" s="125"/>
      <c r="H1" s="125"/>
      <c r="I1" s="125"/>
      <c r="J1" s="125"/>
      <c r="K1" s="125"/>
      <c r="L1" s="126" t="s">
        <v>0</v>
      </c>
      <c r="M1" s="183"/>
    </row>
    <row r="2" spans="1:12" ht="30.75" customHeight="1" thickBot="1" thickTop="1">
      <c r="A2" s="129"/>
      <c r="B2" s="130" t="s">
        <v>1</v>
      </c>
      <c r="C2" s="184" t="str">
        <f>MAIN!C2</f>
        <v>Spreadsheets to BS 8110</v>
      </c>
      <c r="D2" s="131"/>
      <c r="E2" s="185"/>
      <c r="F2" s="185"/>
      <c r="G2" s="131"/>
      <c r="H2" s="185"/>
      <c r="I2" s="820" t="str">
        <f>MAIN!I2</f>
        <v>REINFORCED CONCRETE COUNCIL</v>
      </c>
      <c r="J2" s="821"/>
      <c r="K2" s="822"/>
      <c r="L2" s="135" t="s">
        <v>339</v>
      </c>
    </row>
    <row r="3" spans="1:12" ht="16.5" thickTop="1">
      <c r="A3" s="125"/>
      <c r="B3" s="136" t="s">
        <v>2</v>
      </c>
      <c r="C3" s="186" t="str">
        <f>MAIN!C3</f>
        <v>Advisory Group</v>
      </c>
      <c r="D3" s="137"/>
      <c r="E3" s="187"/>
      <c r="F3" s="187"/>
      <c r="H3" s="139"/>
      <c r="I3" s="140" t="s">
        <v>74</v>
      </c>
      <c r="J3" s="188" t="s">
        <v>75</v>
      </c>
      <c r="K3" s="189" t="s">
        <v>76</v>
      </c>
      <c r="L3" s="135" t="s">
        <v>340</v>
      </c>
    </row>
    <row r="4" spans="1:12" ht="18">
      <c r="A4" s="125"/>
      <c r="B4" s="136" t="s">
        <v>5</v>
      </c>
      <c r="C4" s="186" t="str">
        <f>MAIN!C4&amp;",  "&amp;MAIN!F4</f>
        <v>3rd Floor slab,  from 1 to 5a</v>
      </c>
      <c r="D4" s="144"/>
      <c r="E4" s="144"/>
      <c r="F4" s="144"/>
      <c r="G4" s="145"/>
      <c r="H4" s="146"/>
      <c r="I4" s="190" t="str">
        <f>MAIN!I4</f>
        <v>rmw</v>
      </c>
      <c r="J4" s="191">
        <f>MAIN!J4</f>
        <v>39305</v>
      </c>
      <c r="K4" s="791" t="str">
        <f>IF(MAIN!O8="","",MAIN!O8&amp;"/")&amp;(1+MAIN!K4)</f>
        <v>44</v>
      </c>
      <c r="L4" s="135" t="s">
        <v>366</v>
      </c>
    </row>
    <row r="5" spans="1:12" ht="18">
      <c r="A5" s="125"/>
      <c r="B5" s="147"/>
      <c r="C5" s="506" t="str">
        <f>MAIN!C5</f>
        <v>RIBBED SLABS to BS 8110:1997 (Analysis &amp; Design)</v>
      </c>
      <c r="D5" s="149"/>
      <c r="E5" s="149"/>
      <c r="F5" s="149"/>
      <c r="G5" s="150"/>
      <c r="H5" s="146"/>
      <c r="I5" s="140" t="s">
        <v>77</v>
      </c>
      <c r="J5" s="193" t="s">
        <v>7</v>
      </c>
      <c r="K5" s="142" t="s">
        <v>78</v>
      </c>
      <c r="L5" s="125"/>
    </row>
    <row r="6" spans="1:12" ht="18.75" thickBot="1">
      <c r="A6" s="125"/>
      <c r="B6" s="152"/>
      <c r="C6" s="153" t="str">
        <f>MAIN!D6&amp;MAIN!E6</f>
        <v>Originated from  RCC32.xls v2.2 on CD               © 2000-2003 BCA for RCC</v>
      </c>
      <c r="D6" s="154"/>
      <c r="E6" s="154"/>
      <c r="F6" s="154"/>
      <c r="G6" s="155"/>
      <c r="H6" s="156"/>
      <c r="I6" s="194" t="str">
        <f>IF(MAIN!I6=0,"",MAIN!I6)</f>
        <v>chg</v>
      </c>
      <c r="J6" s="195" t="str">
        <f>IF(MAIN!J6=0,"",MAIN!J6)</f>
        <v>-</v>
      </c>
      <c r="K6" s="196" t="str">
        <f>MAIN!K6</f>
        <v>R68</v>
      </c>
      <c r="L6" s="125"/>
    </row>
    <row r="7" spans="1:12" ht="24.75" customHeight="1" thickTop="1">
      <c r="A7" s="125"/>
      <c r="B7" s="318" t="s">
        <v>430</v>
      </c>
      <c r="C7" s="319"/>
      <c r="D7" s="319"/>
      <c r="E7" s="263"/>
      <c r="F7" s="263"/>
      <c r="G7" s="319"/>
      <c r="H7" s="319"/>
      <c r="I7" s="319"/>
      <c r="J7" s="319"/>
      <c r="K7" s="320"/>
      <c r="L7" s="125"/>
    </row>
    <row r="8" spans="1:12" ht="15.75">
      <c r="A8" s="125"/>
      <c r="B8" s="304"/>
      <c r="C8" s="310"/>
      <c r="D8" s="310"/>
      <c r="E8" s="265"/>
      <c r="F8" s="265"/>
      <c r="G8" s="310"/>
      <c r="H8" s="310"/>
      <c r="I8" s="310"/>
      <c r="J8" s="310"/>
      <c r="K8" s="302"/>
      <c r="L8" s="125"/>
    </row>
    <row r="9" spans="1:12" ht="15.75">
      <c r="A9" s="125"/>
      <c r="B9" s="304"/>
      <c r="C9" s="310"/>
      <c r="D9" s="310"/>
      <c r="E9" s="265"/>
      <c r="F9" s="265"/>
      <c r="G9" s="310"/>
      <c r="H9" s="310"/>
      <c r="I9" s="310"/>
      <c r="J9" s="310"/>
      <c r="K9" s="302"/>
      <c r="L9" s="125"/>
    </row>
    <row r="10" spans="1:12" ht="15.75">
      <c r="A10" s="125"/>
      <c r="B10" s="304"/>
      <c r="C10" s="310"/>
      <c r="D10" s="310"/>
      <c r="E10" s="265"/>
      <c r="F10" s="265"/>
      <c r="G10" s="310"/>
      <c r="H10" s="310"/>
      <c r="I10" s="310"/>
      <c r="J10" s="310"/>
      <c r="K10" s="302"/>
      <c r="L10" s="434" t="s">
        <v>79</v>
      </c>
    </row>
    <row r="11" spans="1:12" ht="15.75">
      <c r="A11" s="125"/>
      <c r="B11" s="304"/>
      <c r="C11" s="310"/>
      <c r="D11" s="310"/>
      <c r="E11" s="265"/>
      <c r="F11" s="265"/>
      <c r="G11" s="310"/>
      <c r="H11" s="310"/>
      <c r="I11" s="310"/>
      <c r="J11" s="310"/>
      <c r="K11" s="302"/>
      <c r="L11" s="435" t="s">
        <v>80</v>
      </c>
    </row>
    <row r="12" spans="1:12" ht="15.75">
      <c r="A12" s="125"/>
      <c r="B12" s="304"/>
      <c r="C12" s="310"/>
      <c r="D12" s="310"/>
      <c r="E12" s="265"/>
      <c r="F12" s="265"/>
      <c r="G12" s="310"/>
      <c r="H12" s="310"/>
      <c r="I12" s="310"/>
      <c r="J12" s="310"/>
      <c r="K12" s="302"/>
      <c r="L12" s="435" t="s">
        <v>81</v>
      </c>
    </row>
    <row r="13" spans="1:12" ht="15.75">
      <c r="A13" s="125"/>
      <c r="B13" s="304"/>
      <c r="C13" s="310"/>
      <c r="D13" s="310"/>
      <c r="E13" s="265"/>
      <c r="F13" s="265"/>
      <c r="G13" s="310"/>
      <c r="H13" s="310"/>
      <c r="I13" s="310"/>
      <c r="J13" s="310"/>
      <c r="K13" s="302"/>
      <c r="L13" s="435" t="s">
        <v>82</v>
      </c>
    </row>
    <row r="14" spans="1:12" ht="15.75">
      <c r="A14" s="125"/>
      <c r="B14" s="304"/>
      <c r="C14" s="310"/>
      <c r="D14" s="310"/>
      <c r="E14" s="265"/>
      <c r="F14" s="265"/>
      <c r="G14" s="310"/>
      <c r="H14" s="310"/>
      <c r="I14" s="310"/>
      <c r="J14" s="310"/>
      <c r="K14" s="302"/>
      <c r="L14" s="436">
        <v>1</v>
      </c>
    </row>
    <row r="15" spans="1:12" ht="15.75">
      <c r="A15" s="125"/>
      <c r="B15" s="304"/>
      <c r="C15" s="310"/>
      <c r="D15" s="310"/>
      <c r="E15" s="265"/>
      <c r="F15" s="265"/>
      <c r="G15" s="310"/>
      <c r="H15" s="310"/>
      <c r="I15" s="310"/>
      <c r="J15" s="310"/>
      <c r="K15" s="302"/>
      <c r="L15" s="198"/>
    </row>
    <row r="16" spans="1:12" ht="15.75">
      <c r="A16" s="125"/>
      <c r="B16" s="304"/>
      <c r="C16" s="310"/>
      <c r="D16" s="310"/>
      <c r="E16" s="265"/>
      <c r="F16" s="265"/>
      <c r="G16" s="310"/>
      <c r="H16" s="310"/>
      <c r="I16" s="310"/>
      <c r="J16" s="310"/>
      <c r="K16" s="302"/>
      <c r="L16" s="208" t="str">
        <f>IF(L14=2,"Zero span redistribution selected",IF(L14=1,"Limited span redistribution selected","Full redistribution selected"))</f>
        <v>Limited span redistribution selected</v>
      </c>
    </row>
    <row r="17" spans="1:12" ht="15.75">
      <c r="A17" s="125"/>
      <c r="B17" s="304"/>
      <c r="C17" s="310"/>
      <c r="D17" s="310"/>
      <c r="E17" s="265"/>
      <c r="F17" s="265"/>
      <c r="G17" s="310"/>
      <c r="H17" s="310"/>
      <c r="I17" s="310"/>
      <c r="J17" s="310"/>
      <c r="K17" s="302"/>
      <c r="L17" s="159"/>
    </row>
    <row r="18" spans="1:12" ht="15.75">
      <c r="A18" s="125"/>
      <c r="B18" s="304"/>
      <c r="C18" s="310"/>
      <c r="D18" s="310"/>
      <c r="E18" s="265"/>
      <c r="F18" s="265"/>
      <c r="G18" s="310"/>
      <c r="H18" s="310"/>
      <c r="I18" s="310"/>
      <c r="J18" s="310"/>
      <c r="K18" s="302"/>
      <c r="L18" s="159"/>
    </row>
    <row r="19" spans="1:12" ht="15.75">
      <c r="A19" s="125"/>
      <c r="B19" s="304"/>
      <c r="C19" s="310"/>
      <c r="D19" s="310"/>
      <c r="E19" s="265"/>
      <c r="F19" s="265"/>
      <c r="G19" s="310"/>
      <c r="H19" s="310"/>
      <c r="I19" s="310"/>
      <c r="J19" s="310"/>
      <c r="K19" s="302"/>
      <c r="L19" s="159"/>
    </row>
    <row r="20" spans="1:12" ht="18.75">
      <c r="A20" s="125"/>
      <c r="B20" s="437" t="str">
        <f>MAIN!E8</f>
        <v>1</v>
      </c>
      <c r="C20" s="321" t="s">
        <v>83</v>
      </c>
      <c r="D20" s="290"/>
      <c r="E20" s="265"/>
      <c r="F20" s="441" t="str">
        <f>MAIN!G8</f>
        <v>5a</v>
      </c>
      <c r="G20" s="438" t="str">
        <f>B20</f>
        <v>1</v>
      </c>
      <c r="H20" s="321" t="s">
        <v>84</v>
      </c>
      <c r="I20" s="322"/>
      <c r="J20" s="290"/>
      <c r="K20" s="442" t="str">
        <f>F20</f>
        <v>5a</v>
      </c>
      <c r="L20" s="159"/>
    </row>
    <row r="21" spans="1:242" ht="18.75">
      <c r="A21" s="125"/>
      <c r="B21" s="323"/>
      <c r="C21" s="324"/>
      <c r="D21" s="324"/>
      <c r="E21" s="325"/>
      <c r="F21" s="325"/>
      <c r="G21" s="324"/>
      <c r="H21" s="325"/>
      <c r="I21" s="325"/>
      <c r="J21" s="324"/>
      <c r="K21" s="326"/>
      <c r="L21" s="15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row>
    <row r="22" spans="1:242" ht="15.75">
      <c r="A22" s="125"/>
      <c r="B22" s="327" t="s">
        <v>85</v>
      </c>
      <c r="C22" s="290"/>
      <c r="D22" s="420">
        <v>1</v>
      </c>
      <c r="E22" s="421">
        <v>2</v>
      </c>
      <c r="F22" s="421">
        <f>IF(MAIN!$I22&gt;2,1+E22," ")</f>
        <v>3</v>
      </c>
      <c r="G22" s="421">
        <f>IF(MAIN!$I$22&gt;3,1+F22," ")</f>
        <v>4</v>
      </c>
      <c r="H22" s="421" t="str">
        <f>IF(MAIN!$I22&gt;4,1+G22," ")</f>
        <v> </v>
      </c>
      <c r="I22" s="421" t="str">
        <f>IF(MAIN!$I22&gt;5,1+H22," ")</f>
        <v> </v>
      </c>
      <c r="J22" s="422" t="str">
        <f>IF(MAIN!$I22&gt;6,1+I22," ")</f>
        <v> </v>
      </c>
      <c r="K22" s="326"/>
      <c r="L22" s="403" t="str">
        <f>IF(AND(MAIN!J21="C",E26&gt;0),"C23 must be zero","")</f>
        <v></v>
      </c>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row>
    <row r="23" spans="1:242" ht="15.75">
      <c r="A23" s="125"/>
      <c r="B23" s="328"/>
      <c r="C23" s="272" t="s">
        <v>86</v>
      </c>
      <c r="D23" s="200">
        <f>MAX(Analysis!C106:C108)</f>
        <v>0</v>
      </c>
      <c r="E23" s="201">
        <f>MAX(Analysis!D106:D108)</f>
        <v>35.8543425</v>
      </c>
      <c r="F23" s="201">
        <f>IF(F22=" ","~",MAX(Analysis!E106:E108))</f>
        <v>97.93741761571225</v>
      </c>
      <c r="G23" s="201">
        <f>IF(G22=" ","~",MAX(Analysis!F106:F108))</f>
        <v>0</v>
      </c>
      <c r="H23" s="201" t="str">
        <f>IF(H22=" ","~",MAX(Analysis!G106:G108))</f>
        <v>~</v>
      </c>
      <c r="I23" s="201" t="str">
        <f>IF(I22=" ","~",MAX(Analysis!H106:H108))</f>
        <v>~</v>
      </c>
      <c r="J23" s="202" t="str">
        <f>IF(J22=" ","kNm/m",MAX(Analysis!I106:I108))</f>
        <v>kNm/m</v>
      </c>
      <c r="K23" s="300"/>
      <c r="L23" s="403" t="str">
        <f>IF(AND(AND(MAIN!J22="C",MAIN!I22=3),E26&gt;0),"C23 must be zero","")</f>
        <v></v>
      </c>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row>
    <row r="24" spans="1:242" ht="15.75">
      <c r="A24" s="125"/>
      <c r="B24" s="328"/>
      <c r="C24" s="272" t="s">
        <v>88</v>
      </c>
      <c r="D24" s="204">
        <f>MAX(Analysis!C115:C117)</f>
        <v>0</v>
      </c>
      <c r="E24" s="329">
        <f>MAX(Analysis!D115:D117)</f>
        <v>35.8543425</v>
      </c>
      <c r="F24" s="329">
        <f>IF(F22=" ","~",MAX(Analysis!E115:E117))</f>
        <v>83.24680497335541</v>
      </c>
      <c r="G24" s="329">
        <f>IF(G22=" ","~",MAX(Analysis!F115:F117))</f>
        <v>0</v>
      </c>
      <c r="H24" s="329" t="str">
        <f>IF(H22=" ","~",MAX(Analysis!G115:G117))</f>
        <v>~</v>
      </c>
      <c r="I24" s="329" t="str">
        <f>IF(I22=" ","~",MAX(Analysis!H115:H117))</f>
        <v>~</v>
      </c>
      <c r="J24" s="205" t="str">
        <f>IF(J22=" ","kNm/m",MAX(Analysis!I115:I117))</f>
        <v>kNm/m</v>
      </c>
      <c r="K24" s="300"/>
      <c r="L24" s="403" t="str">
        <f>IF(AND(AND(MAIN!J22="C",MAIN!I22=4),F26&gt;0),"D23 must be zero","")</f>
        <v></v>
      </c>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c r="IG24" s="203"/>
      <c r="IH24" s="203"/>
    </row>
    <row r="25" spans="1:242" ht="15.75">
      <c r="A25" s="125"/>
      <c r="B25" s="328"/>
      <c r="C25" s="272" t="s">
        <v>89</v>
      </c>
      <c r="D25" s="206">
        <f>IF(D22=" ",D22,IF(D23=0,1,D24/D23))</f>
        <v>1</v>
      </c>
      <c r="E25" s="330">
        <f>IF(E22=" ",E22,IF(E23=0,1,E24/E23))</f>
        <v>1</v>
      </c>
      <c r="F25" s="330">
        <f>IF(F22=" ","~",IF(F23=0,1,F24/F23))</f>
        <v>0.85</v>
      </c>
      <c r="G25" s="330">
        <f>IF(G22=" ","~",IF(G23=0,1,G24/G23))</f>
        <v>1</v>
      </c>
      <c r="H25" s="330" t="str">
        <f>IF(H22=" ","~",IF(H23=0,1,H24/H23))</f>
        <v>~</v>
      </c>
      <c r="I25" s="330" t="str">
        <f>IF(I22=" ","~",IF(I23=0,1,I24/I23))</f>
        <v>~</v>
      </c>
      <c r="J25" s="207" t="str">
        <f>IF(J22=" ","~",IF(J23=0,1,J24/J23))</f>
        <v>~</v>
      </c>
      <c r="K25" s="326"/>
      <c r="L25" s="403" t="str">
        <f>IF(AND(AND(MAIN!J22="C",MAIN!I22=5),G26&gt;0),"E23 must be zero","")</f>
        <v></v>
      </c>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row>
    <row r="26" spans="1:242" ht="15.75">
      <c r="A26" s="125"/>
      <c r="B26" s="328"/>
      <c r="C26" s="272" t="s">
        <v>90</v>
      </c>
      <c r="D26" s="45"/>
      <c r="E26" s="46">
        <v>0</v>
      </c>
      <c r="F26" s="46">
        <v>0.15</v>
      </c>
      <c r="G26" s="46"/>
      <c r="H26" s="46"/>
      <c r="I26" s="46"/>
      <c r="J26" s="47"/>
      <c r="K26" s="326"/>
      <c r="L26" s="434" t="s">
        <v>91</v>
      </c>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row>
    <row r="27" spans="1:242" ht="15.75">
      <c r="A27" s="125"/>
      <c r="B27" s="328"/>
      <c r="C27" s="281"/>
      <c r="D27" s="267"/>
      <c r="E27" s="267"/>
      <c r="F27" s="267"/>
      <c r="G27" s="267"/>
      <c r="H27" s="267"/>
      <c r="I27" s="267"/>
      <c r="J27" s="281"/>
      <c r="K27" s="326"/>
      <c r="L27" s="403" t="str">
        <f>IF(MAX(D26:H26)&gt;0.3,"Exceeds Maximum Allowed","")</f>
        <v></v>
      </c>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row>
    <row r="28" spans="1:12" ht="15.75">
      <c r="A28" s="125"/>
      <c r="B28" s="327" t="s">
        <v>92</v>
      </c>
      <c r="C28" s="290"/>
      <c r="D28" s="420">
        <v>1</v>
      </c>
      <c r="E28" s="421">
        <f>IF(MAIN!$I22&gt;2,1+D28," ")</f>
        <v>2</v>
      </c>
      <c r="F28" s="421">
        <f>IF(MAIN!$I$22&gt;3,1+E28," ")</f>
        <v>3</v>
      </c>
      <c r="G28" s="421" t="str">
        <f>IF(MAIN!$I$22&gt;4,1+F28," ")</f>
        <v> </v>
      </c>
      <c r="H28" s="421" t="str">
        <f>IF(MAIN!$I$22&gt;5,1+G28," ")</f>
        <v> </v>
      </c>
      <c r="I28" s="422" t="str">
        <f>IF(MAIN!$I$22&gt;6,1+H28," ")</f>
        <v> </v>
      </c>
      <c r="J28" s="310"/>
      <c r="K28" s="326"/>
      <c r="L28" s="403" t="str">
        <f>IF(AND(AND(MAIN!J22="C",MAIN!I22=7),I26&gt;0),"G23 must be zero","")</f>
        <v></v>
      </c>
    </row>
    <row r="29" spans="1:12" ht="15.75">
      <c r="A29" s="125"/>
      <c r="B29" s="328"/>
      <c r="C29" s="272" t="s">
        <v>86</v>
      </c>
      <c r="D29" s="178">
        <f>IF(MAIN!J21="C",0,MAX(Analysis!K179:K181))</f>
        <v>0</v>
      </c>
      <c r="E29" s="179">
        <f>IF(E28=" ","~",MAX(Analysis!K199:K201))</f>
        <v>66.48129142797768</v>
      </c>
      <c r="F29" s="179">
        <f>IF(F28=" ","~",MAX(Analysis!K225:K227))</f>
        <v>75.33882390340682</v>
      </c>
      <c r="G29" s="179" t="str">
        <f>IF(G28=" ","~",MAX(Analysis!K245:K247))</f>
        <v>~</v>
      </c>
      <c r="H29" s="179" t="str">
        <f>IF(H28=" ","~",MAX(Analysis!K265:K267))</f>
        <v>~</v>
      </c>
      <c r="I29" s="180" t="str">
        <f>IF(I28=" ","~",MAX(Analysis!K290:K292))</f>
        <v>~</v>
      </c>
      <c r="J29" s="331"/>
      <c r="K29" s="326"/>
      <c r="L29" s="159"/>
    </row>
    <row r="30" spans="1:12" ht="15.75">
      <c r="A30" s="125"/>
      <c r="B30" s="328"/>
      <c r="C30" s="272" t="s">
        <v>88</v>
      </c>
      <c r="D30" s="173">
        <f>IF(MAIN!J21="C",0,MAX(Analysis!K182:K184))</f>
        <v>0</v>
      </c>
      <c r="E30" s="306">
        <f>IF(E28=" ","~",MAX(Analysis!K202:K204))</f>
        <v>62.290340831186654</v>
      </c>
      <c r="F30" s="306">
        <f>IF(F28=" ","~",MAX(Analysis!K228:K230))</f>
        <v>71.03749415010869</v>
      </c>
      <c r="G30" s="306" t="str">
        <f>IF(G28=" ","~",MAX(Analysis!K248:K250))</f>
        <v>~</v>
      </c>
      <c r="H30" s="306" t="str">
        <f>IF(H28=" ","~",MAX(Analysis!K268:K270))</f>
        <v>~</v>
      </c>
      <c r="I30" s="182" t="str">
        <f>IF(I28=" ","~",MAX(Analysis!K293:K295))</f>
        <v>~</v>
      </c>
      <c r="J30" s="331"/>
      <c r="K30" s="326"/>
      <c r="L30" s="159"/>
    </row>
    <row r="31" spans="1:12" ht="15.75">
      <c r="A31" s="125"/>
      <c r="B31" s="328"/>
      <c r="C31" s="272" t="s">
        <v>89</v>
      </c>
      <c r="D31" s="209">
        <f>IF(OR(MAIN!J21="C",D29=0),1,D30/D29)</f>
        <v>1</v>
      </c>
      <c r="E31" s="210">
        <f>IF(E28&gt;0,IF(OR(AND(MAIN!$J$22="C",E28=MAIN!$I$22-1),E29=0),1,E30/E29),"~")</f>
        <v>0.9369604514778225</v>
      </c>
      <c r="F31" s="210">
        <f>IF(F28&gt;0,IF(OR(AND(MAIN!$J$22="C",F28=MAIN!$I$22-1),F29=0),1,F30/F29),"~")</f>
        <v>0.9429068635473665</v>
      </c>
      <c r="G31" s="210" t="e">
        <f>IF(G28&gt;0,IF(OR(AND(MAIN!$J$22="C",G28=MAIN!$I$22-1),G29=0),1,G30/G29),"~")</f>
        <v>#VALUE!</v>
      </c>
      <c r="H31" s="210" t="e">
        <f>IF(H28&gt;0,IF(OR(AND(MAIN!$J$22="C",H28=MAIN!$I$22-1),H29=0),1,H30/H29),"~")</f>
        <v>#VALUE!</v>
      </c>
      <c r="I31" s="211" t="e">
        <f>IF(I28&gt;0,IF(OR(AND(MAIN!$J$22="C",I28=MAIN!$I$22-1),I29=0),1,I30/I29),"~")</f>
        <v>#VALUE!</v>
      </c>
      <c r="J31" s="331"/>
      <c r="K31" s="326"/>
      <c r="L31" s="159"/>
    </row>
    <row r="32" spans="1:12" ht="20.25" customHeight="1">
      <c r="A32" s="125"/>
      <c r="B32" s="264" t="s">
        <v>431</v>
      </c>
      <c r="C32" s="310"/>
      <c r="D32" s="310"/>
      <c r="E32" s="265"/>
      <c r="F32" s="265"/>
      <c r="G32" s="310"/>
      <c r="H32" s="310"/>
      <c r="I32" s="310"/>
      <c r="J32" s="310"/>
      <c r="K32" s="302"/>
      <c r="L32" s="159"/>
    </row>
    <row r="33" spans="1:12" ht="15.75">
      <c r="A33" s="125"/>
      <c r="B33" s="304"/>
      <c r="C33" s="310"/>
      <c r="D33" s="310"/>
      <c r="E33" s="265"/>
      <c r="F33" s="265"/>
      <c r="G33" s="310"/>
      <c r="H33" s="310"/>
      <c r="I33" s="310"/>
      <c r="J33" s="310"/>
      <c r="K33" s="302"/>
      <c r="L33" s="159"/>
    </row>
    <row r="34" spans="1:18" ht="15.75">
      <c r="A34" s="125"/>
      <c r="B34" s="304"/>
      <c r="C34" s="310"/>
      <c r="D34" s="310"/>
      <c r="E34" s="265"/>
      <c r="F34" s="265"/>
      <c r="G34" s="310"/>
      <c r="H34" s="310"/>
      <c r="I34" s="310"/>
      <c r="J34" s="310"/>
      <c r="K34" s="302"/>
      <c r="L34" s="159"/>
      <c r="R34" s="199"/>
    </row>
    <row r="35" spans="1:242" ht="15.75">
      <c r="A35" s="125"/>
      <c r="B35" s="332"/>
      <c r="C35" s="265"/>
      <c r="D35" s="265"/>
      <c r="E35" s="265"/>
      <c r="F35" s="265"/>
      <c r="G35" s="265"/>
      <c r="H35" s="265"/>
      <c r="I35" s="265"/>
      <c r="J35" s="265"/>
      <c r="K35" s="268"/>
      <c r="L35" s="159"/>
      <c r="R35" s="212"/>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c r="GR35" s="158"/>
      <c r="GS35" s="158"/>
      <c r="GT35" s="158"/>
      <c r="GU35" s="158"/>
      <c r="GV35" s="158"/>
      <c r="GW35" s="158"/>
      <c r="GX35" s="158"/>
      <c r="GY35" s="158"/>
      <c r="GZ35" s="158"/>
      <c r="HA35" s="158"/>
      <c r="HB35" s="158"/>
      <c r="HC35" s="158"/>
      <c r="HD35" s="158"/>
      <c r="HE35" s="158"/>
      <c r="HF35" s="158"/>
      <c r="HG35" s="158"/>
      <c r="HH35" s="158"/>
      <c r="HI35" s="158"/>
      <c r="HJ35" s="158"/>
      <c r="HK35" s="158"/>
      <c r="HL35" s="158"/>
      <c r="HM35" s="158"/>
      <c r="HN35" s="158"/>
      <c r="HO35" s="158"/>
      <c r="HP35" s="158"/>
      <c r="HQ35" s="158"/>
      <c r="HR35" s="158"/>
      <c r="HS35" s="158"/>
      <c r="HT35" s="158"/>
      <c r="HU35" s="158"/>
      <c r="HV35" s="158"/>
      <c r="HW35" s="158"/>
      <c r="HX35" s="158"/>
      <c r="HY35" s="158"/>
      <c r="HZ35" s="158"/>
      <c r="IA35" s="158"/>
      <c r="IB35" s="158"/>
      <c r="IC35" s="158"/>
      <c r="ID35" s="158"/>
      <c r="IE35" s="158"/>
      <c r="IF35" s="158"/>
      <c r="IG35" s="158"/>
      <c r="IH35" s="158"/>
    </row>
    <row r="36" spans="1:242" ht="15.75">
      <c r="A36" s="125"/>
      <c r="B36" s="332"/>
      <c r="C36" s="265"/>
      <c r="D36" s="265"/>
      <c r="E36" s="265"/>
      <c r="F36" s="265"/>
      <c r="G36" s="265"/>
      <c r="H36" s="265"/>
      <c r="I36" s="265"/>
      <c r="J36" s="265"/>
      <c r="K36" s="268"/>
      <c r="L36" s="159"/>
      <c r="R36" s="212"/>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c r="GR36" s="158"/>
      <c r="GS36" s="158"/>
      <c r="GT36" s="158"/>
      <c r="GU36" s="158"/>
      <c r="GV36" s="158"/>
      <c r="GW36" s="158"/>
      <c r="GX36" s="158"/>
      <c r="GY36" s="158"/>
      <c r="GZ36" s="158"/>
      <c r="HA36" s="158"/>
      <c r="HB36" s="158"/>
      <c r="HC36" s="158"/>
      <c r="HD36" s="158"/>
      <c r="HE36" s="158"/>
      <c r="HF36" s="158"/>
      <c r="HG36" s="158"/>
      <c r="HH36" s="158"/>
      <c r="HI36" s="158"/>
      <c r="HJ36" s="158"/>
      <c r="HK36" s="158"/>
      <c r="HL36" s="158"/>
      <c r="HM36" s="158"/>
      <c r="HN36" s="158"/>
      <c r="HO36" s="158"/>
      <c r="HP36" s="158"/>
      <c r="HQ36" s="158"/>
      <c r="HR36" s="158"/>
      <c r="HS36" s="158"/>
      <c r="HT36" s="158"/>
      <c r="HU36" s="158"/>
      <c r="HV36" s="158"/>
      <c r="HW36" s="158"/>
      <c r="HX36" s="158"/>
      <c r="HY36" s="158"/>
      <c r="HZ36" s="158"/>
      <c r="IA36" s="158"/>
      <c r="IB36" s="158"/>
      <c r="IC36" s="158"/>
      <c r="ID36" s="158"/>
      <c r="IE36" s="158"/>
      <c r="IF36" s="158"/>
      <c r="IG36" s="158"/>
      <c r="IH36" s="158"/>
    </row>
    <row r="37" spans="1:242" ht="15.75">
      <c r="A37" s="125"/>
      <c r="B37" s="332"/>
      <c r="C37" s="265"/>
      <c r="D37" s="265"/>
      <c r="E37" s="265"/>
      <c r="F37" s="265"/>
      <c r="G37" s="265"/>
      <c r="H37" s="265"/>
      <c r="I37" s="265"/>
      <c r="J37" s="265"/>
      <c r="K37" s="268"/>
      <c r="L37" s="159"/>
      <c r="R37" s="212"/>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c r="GR37" s="158"/>
      <c r="GS37" s="158"/>
      <c r="GT37" s="158"/>
      <c r="GU37" s="158"/>
      <c r="GV37" s="158"/>
      <c r="GW37" s="158"/>
      <c r="GX37" s="158"/>
      <c r="GY37" s="158"/>
      <c r="GZ37" s="158"/>
      <c r="HA37" s="158"/>
      <c r="HB37" s="158"/>
      <c r="HC37" s="158"/>
      <c r="HD37" s="158"/>
      <c r="HE37" s="158"/>
      <c r="HF37" s="158"/>
      <c r="HG37" s="158"/>
      <c r="HH37" s="158"/>
      <c r="HI37" s="158"/>
      <c r="HJ37" s="158"/>
      <c r="HK37" s="158"/>
      <c r="HL37" s="158"/>
      <c r="HM37" s="158"/>
      <c r="HN37" s="158"/>
      <c r="HO37" s="158"/>
      <c r="HP37" s="158"/>
      <c r="HQ37" s="158"/>
      <c r="HR37" s="158"/>
      <c r="HS37" s="158"/>
      <c r="HT37" s="158"/>
      <c r="HU37" s="158"/>
      <c r="HV37" s="158"/>
      <c r="HW37" s="158"/>
      <c r="HX37" s="158"/>
      <c r="HY37" s="158"/>
      <c r="HZ37" s="158"/>
      <c r="IA37" s="158"/>
      <c r="IB37" s="158"/>
      <c r="IC37" s="158"/>
      <c r="ID37" s="158"/>
      <c r="IE37" s="158"/>
      <c r="IF37" s="158"/>
      <c r="IG37" s="158"/>
      <c r="IH37" s="158"/>
    </row>
    <row r="38" spans="1:18" ht="15.75">
      <c r="A38" s="125"/>
      <c r="B38" s="304"/>
      <c r="C38" s="310"/>
      <c r="D38" s="310"/>
      <c r="E38" s="265"/>
      <c r="F38" s="265"/>
      <c r="G38" s="310"/>
      <c r="H38" s="310"/>
      <c r="I38" s="310"/>
      <c r="J38" s="310"/>
      <c r="K38" s="302"/>
      <c r="L38" s="159"/>
      <c r="R38" s="199"/>
    </row>
    <row r="39" spans="1:18" ht="15.75">
      <c r="A39" s="125"/>
      <c r="B39" s="304"/>
      <c r="C39" s="310"/>
      <c r="D39" s="310"/>
      <c r="E39" s="265"/>
      <c r="F39" s="265"/>
      <c r="G39" s="310"/>
      <c r="H39" s="310"/>
      <c r="I39" s="310"/>
      <c r="J39" s="310"/>
      <c r="K39" s="302"/>
      <c r="L39" s="159"/>
      <c r="R39" s="199"/>
    </row>
    <row r="40" spans="1:18" ht="15.75">
      <c r="A40" s="125"/>
      <c r="B40" s="304"/>
      <c r="C40" s="310"/>
      <c r="D40" s="310"/>
      <c r="E40" s="265"/>
      <c r="F40" s="265"/>
      <c r="G40" s="310"/>
      <c r="H40" s="310"/>
      <c r="I40" s="310"/>
      <c r="J40" s="310"/>
      <c r="K40" s="302"/>
      <c r="L40" s="159"/>
      <c r="R40" s="203"/>
    </row>
    <row r="41" spans="1:18" ht="15.75">
      <c r="A41" s="125"/>
      <c r="B41" s="304"/>
      <c r="C41" s="310"/>
      <c r="D41" s="310"/>
      <c r="E41" s="265"/>
      <c r="F41" s="265"/>
      <c r="G41" s="333"/>
      <c r="H41" s="310"/>
      <c r="I41" s="334"/>
      <c r="J41" s="310"/>
      <c r="K41" s="302"/>
      <c r="L41" s="159"/>
      <c r="R41" s="203"/>
    </row>
    <row r="42" spans="1:18" ht="15.75">
      <c r="A42" s="125"/>
      <c r="B42" s="304"/>
      <c r="C42" s="310"/>
      <c r="D42" s="310"/>
      <c r="E42" s="265"/>
      <c r="F42" s="265"/>
      <c r="G42" s="310"/>
      <c r="H42" s="310"/>
      <c r="I42" s="310"/>
      <c r="J42" s="310"/>
      <c r="K42" s="302"/>
      <c r="L42" s="159"/>
      <c r="R42" s="203"/>
    </row>
    <row r="43" spans="1:18" ht="15.75">
      <c r="A43" s="125"/>
      <c r="B43" s="304"/>
      <c r="C43" s="310"/>
      <c r="D43" s="310"/>
      <c r="E43" s="265"/>
      <c r="F43" s="265"/>
      <c r="G43" s="310"/>
      <c r="H43" s="310"/>
      <c r="I43" s="310"/>
      <c r="J43" s="310"/>
      <c r="K43" s="302"/>
      <c r="L43" s="159"/>
      <c r="R43" s="199"/>
    </row>
    <row r="44" spans="1:18" ht="15.75">
      <c r="A44" s="125"/>
      <c r="B44" s="304"/>
      <c r="C44" s="310"/>
      <c r="D44" s="310"/>
      <c r="E44" s="265"/>
      <c r="F44" s="265"/>
      <c r="G44" s="310"/>
      <c r="H44" s="310"/>
      <c r="I44" s="310"/>
      <c r="J44" s="310"/>
      <c r="K44" s="302"/>
      <c r="L44" s="159"/>
      <c r="R44" s="199"/>
    </row>
    <row r="45" spans="1:242" ht="18">
      <c r="A45" s="125"/>
      <c r="B45" s="437" t="str">
        <f>B20</f>
        <v>1</v>
      </c>
      <c r="C45" s="321" t="s">
        <v>93</v>
      </c>
      <c r="D45" s="290"/>
      <c r="E45" s="265"/>
      <c r="F45" s="440" t="str">
        <f>F20</f>
        <v>5a</v>
      </c>
      <c r="G45" s="438" t="str">
        <f>G20</f>
        <v>1</v>
      </c>
      <c r="H45" s="321" t="s">
        <v>94</v>
      </c>
      <c r="I45" s="290"/>
      <c r="J45" s="290"/>
      <c r="K45" s="439" t="str">
        <f>K20</f>
        <v>5a</v>
      </c>
      <c r="L45" s="15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c r="DV45" s="213"/>
      <c r="DW45" s="213"/>
      <c r="DX45" s="213"/>
      <c r="DY45" s="213"/>
      <c r="DZ45" s="213"/>
      <c r="EA45" s="213"/>
      <c r="EB45" s="213"/>
      <c r="EC45" s="213"/>
      <c r="ED45" s="213"/>
      <c r="EE45" s="213"/>
      <c r="EF45" s="213"/>
      <c r="EG45" s="213"/>
      <c r="EH45" s="213"/>
      <c r="EI45" s="213"/>
      <c r="EJ45" s="213"/>
      <c r="EK45" s="213"/>
      <c r="EL45" s="213"/>
      <c r="EM45" s="213"/>
      <c r="EN45" s="213"/>
      <c r="EO45" s="213"/>
      <c r="EP45" s="213"/>
      <c r="EQ45" s="213"/>
      <c r="ER45" s="213"/>
      <c r="ES45" s="213"/>
      <c r="ET45" s="213"/>
      <c r="EU45" s="213"/>
      <c r="EV45" s="213"/>
      <c r="EW45" s="213"/>
      <c r="EX45" s="213"/>
      <c r="EY45" s="213"/>
      <c r="EZ45" s="213"/>
      <c r="FA45" s="213"/>
      <c r="FB45" s="213"/>
      <c r="FC45" s="213"/>
      <c r="FD45" s="213"/>
      <c r="FE45" s="213"/>
      <c r="FF45" s="213"/>
      <c r="FG45" s="213"/>
      <c r="FH45" s="213"/>
      <c r="FI45" s="213"/>
      <c r="FJ45" s="213"/>
      <c r="FK45" s="213"/>
      <c r="FL45" s="213"/>
      <c r="FM45" s="213"/>
      <c r="FN45" s="213"/>
      <c r="FO45" s="213"/>
      <c r="FP45" s="213"/>
      <c r="FQ45" s="213"/>
      <c r="FR45" s="213"/>
      <c r="FS45" s="213"/>
      <c r="FT45" s="213"/>
      <c r="FU45" s="213"/>
      <c r="FV45" s="213"/>
      <c r="FW45" s="213"/>
      <c r="FX45" s="213"/>
      <c r="FY45" s="213"/>
      <c r="FZ45" s="213"/>
      <c r="GA45" s="213"/>
      <c r="GB45" s="213"/>
      <c r="GC45" s="213"/>
      <c r="GD45" s="213"/>
      <c r="GE45" s="213"/>
      <c r="GF45" s="213"/>
      <c r="GG45" s="213"/>
      <c r="GH45" s="213"/>
      <c r="GI45" s="213"/>
      <c r="GJ45" s="213"/>
      <c r="GK45" s="213"/>
      <c r="GL45" s="213"/>
      <c r="GM45" s="213"/>
      <c r="GN45" s="213"/>
      <c r="GO45" s="213"/>
      <c r="GP45" s="213"/>
      <c r="GQ45" s="213"/>
      <c r="GR45" s="213"/>
      <c r="GS45" s="213"/>
      <c r="GT45" s="213"/>
      <c r="GU45" s="213"/>
      <c r="GV45" s="213"/>
      <c r="GW45" s="213"/>
      <c r="GX45" s="213"/>
      <c r="GY45" s="213"/>
      <c r="GZ45" s="213"/>
      <c r="HA45" s="213"/>
      <c r="HB45" s="213"/>
      <c r="HC45" s="213"/>
      <c r="HD45" s="213"/>
      <c r="HE45" s="213"/>
      <c r="HF45" s="213"/>
      <c r="HG45" s="213"/>
      <c r="HH45" s="213"/>
      <c r="HI45" s="213"/>
      <c r="HJ45" s="213"/>
      <c r="HK45" s="213"/>
      <c r="HL45" s="213"/>
      <c r="HM45" s="213"/>
      <c r="HN45" s="213"/>
      <c r="HO45" s="213"/>
      <c r="HP45" s="213"/>
      <c r="HQ45" s="213"/>
      <c r="HR45" s="213"/>
      <c r="HS45" s="213"/>
      <c r="HT45" s="213"/>
      <c r="HU45" s="213"/>
      <c r="HV45" s="213"/>
      <c r="HW45" s="213"/>
      <c r="HX45" s="213"/>
      <c r="HY45" s="213"/>
      <c r="HZ45" s="213"/>
      <c r="IA45" s="213"/>
      <c r="IB45" s="213"/>
      <c r="IC45" s="213"/>
      <c r="ID45" s="213"/>
      <c r="IE45" s="213"/>
      <c r="IF45" s="213"/>
      <c r="IG45" s="213"/>
      <c r="IH45" s="213"/>
    </row>
    <row r="46" spans="1:242" ht="15.75">
      <c r="A46" s="125"/>
      <c r="B46" s="304"/>
      <c r="C46" s="267"/>
      <c r="D46" s="267"/>
      <c r="E46" s="265"/>
      <c r="F46" s="265"/>
      <c r="G46" s="310"/>
      <c r="H46" s="310"/>
      <c r="I46" s="310"/>
      <c r="J46" s="310"/>
      <c r="K46" s="302"/>
      <c r="L46" s="159"/>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4"/>
      <c r="FL46" s="214"/>
      <c r="FM46" s="214"/>
      <c r="FN46" s="214"/>
      <c r="FO46" s="214"/>
      <c r="FP46" s="214"/>
      <c r="FQ46" s="214"/>
      <c r="FR46" s="214"/>
      <c r="FS46" s="214"/>
      <c r="FT46" s="214"/>
      <c r="FU46" s="214"/>
      <c r="FV46" s="214"/>
      <c r="FW46" s="214"/>
      <c r="FX46" s="214"/>
      <c r="FY46" s="214"/>
      <c r="FZ46" s="214"/>
      <c r="GA46" s="214"/>
      <c r="GB46" s="214"/>
      <c r="GC46" s="214"/>
      <c r="GD46" s="214"/>
      <c r="GE46" s="214"/>
      <c r="GF46" s="214"/>
      <c r="GG46" s="214"/>
      <c r="GH46" s="214"/>
      <c r="GI46" s="214"/>
      <c r="GJ46" s="214"/>
      <c r="GK46" s="214"/>
      <c r="GL46" s="214"/>
      <c r="GM46" s="214"/>
      <c r="GN46" s="214"/>
      <c r="GO46" s="214"/>
      <c r="GP46" s="214"/>
      <c r="GQ46" s="214"/>
      <c r="GR46" s="214"/>
      <c r="GS46" s="214"/>
      <c r="GT46" s="214"/>
      <c r="GU46" s="214"/>
      <c r="GV46" s="214"/>
      <c r="GW46" s="214"/>
      <c r="GX46" s="214"/>
      <c r="GY46" s="214"/>
      <c r="GZ46" s="214"/>
      <c r="HA46" s="214"/>
      <c r="HB46" s="214"/>
      <c r="HC46" s="214"/>
      <c r="HD46" s="214"/>
      <c r="HE46" s="214"/>
      <c r="HF46" s="214"/>
      <c r="HG46" s="214"/>
      <c r="HH46" s="214"/>
      <c r="HI46" s="214"/>
      <c r="HJ46" s="214"/>
      <c r="HK46" s="214"/>
      <c r="HL46" s="214"/>
      <c r="HM46" s="214"/>
      <c r="HN46" s="214"/>
      <c r="HO46" s="214"/>
      <c r="HP46" s="214"/>
      <c r="HQ46" s="214"/>
      <c r="HR46" s="214"/>
      <c r="HS46" s="214"/>
      <c r="HT46" s="214"/>
      <c r="HU46" s="214"/>
      <c r="HV46" s="214"/>
      <c r="HW46" s="214"/>
      <c r="HX46" s="214"/>
      <c r="HY46" s="214"/>
      <c r="HZ46" s="214"/>
      <c r="IA46" s="214"/>
      <c r="IB46" s="214"/>
      <c r="IC46" s="214"/>
      <c r="ID46" s="214"/>
      <c r="IE46" s="214"/>
      <c r="IF46" s="214"/>
      <c r="IG46" s="214"/>
      <c r="IH46" s="214"/>
    </row>
    <row r="47" spans="1:242" ht="15.75">
      <c r="A47" s="125"/>
      <c r="B47" s="327" t="s">
        <v>92</v>
      </c>
      <c r="C47" s="290"/>
      <c r="D47" s="446">
        <v>1</v>
      </c>
      <c r="E47" s="447"/>
      <c r="F47" s="446">
        <f>E28</f>
        <v>2</v>
      </c>
      <c r="G47" s="447"/>
      <c r="H47" s="446">
        <f>F28</f>
        <v>3</v>
      </c>
      <c r="I47" s="447"/>
      <c r="J47" s="331"/>
      <c r="K47" s="335"/>
      <c r="L47" s="15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c r="EI47" s="213"/>
      <c r="EJ47" s="213"/>
      <c r="EK47" s="213"/>
      <c r="EL47" s="213"/>
      <c r="EM47" s="213"/>
      <c r="EN47" s="213"/>
      <c r="EO47" s="213"/>
      <c r="EP47" s="213"/>
      <c r="EQ47" s="213"/>
      <c r="ER47" s="213"/>
      <c r="ES47" s="213"/>
      <c r="ET47" s="213"/>
      <c r="EU47" s="213"/>
      <c r="EV47" s="213"/>
      <c r="EW47" s="213"/>
      <c r="EX47" s="213"/>
      <c r="EY47" s="213"/>
      <c r="EZ47" s="213"/>
      <c r="FA47" s="213"/>
      <c r="FB47" s="213"/>
      <c r="FC47" s="213"/>
      <c r="FD47" s="213"/>
      <c r="FE47" s="213"/>
      <c r="FF47" s="213"/>
      <c r="FG47" s="213"/>
      <c r="FH47" s="213"/>
      <c r="FI47" s="213"/>
      <c r="FJ47" s="213"/>
      <c r="FK47" s="213"/>
      <c r="FL47" s="213"/>
      <c r="FM47" s="213"/>
      <c r="FN47" s="213"/>
      <c r="FO47" s="213"/>
      <c r="FP47" s="213"/>
      <c r="FQ47" s="213"/>
      <c r="FR47" s="213"/>
      <c r="FS47" s="213"/>
      <c r="FT47" s="213"/>
      <c r="FU47" s="213"/>
      <c r="FV47" s="213"/>
      <c r="FW47" s="213"/>
      <c r="FX47" s="213"/>
      <c r="FY47" s="213"/>
      <c r="FZ47" s="213"/>
      <c r="GA47" s="213"/>
      <c r="GB47" s="213"/>
      <c r="GC47" s="213"/>
      <c r="GD47" s="213"/>
      <c r="GE47" s="213"/>
      <c r="GF47" s="213"/>
      <c r="GG47" s="213"/>
      <c r="GH47" s="213"/>
      <c r="GI47" s="213"/>
      <c r="GJ47" s="213"/>
      <c r="GK47" s="213"/>
      <c r="GL47" s="213"/>
      <c r="GM47" s="213"/>
      <c r="GN47" s="213"/>
      <c r="GO47" s="213"/>
      <c r="GP47" s="213"/>
      <c r="GQ47" s="213"/>
      <c r="GR47" s="213"/>
      <c r="GS47" s="213"/>
      <c r="GT47" s="213"/>
      <c r="GU47" s="213"/>
      <c r="GV47" s="213"/>
      <c r="GW47" s="213"/>
      <c r="GX47" s="213"/>
      <c r="GY47" s="213"/>
      <c r="GZ47" s="213"/>
      <c r="HA47" s="213"/>
      <c r="HB47" s="213"/>
      <c r="HC47" s="213"/>
      <c r="HD47" s="213"/>
      <c r="HE47" s="213"/>
      <c r="HF47" s="213"/>
      <c r="HG47" s="213"/>
      <c r="HH47" s="213"/>
      <c r="HI47" s="213"/>
      <c r="HJ47" s="213"/>
      <c r="HK47" s="213"/>
      <c r="HL47" s="213"/>
      <c r="HM47" s="213"/>
      <c r="HN47" s="213"/>
      <c r="HO47" s="213"/>
      <c r="HP47" s="213"/>
      <c r="HQ47" s="213"/>
      <c r="HR47" s="213"/>
      <c r="HS47" s="213"/>
      <c r="HT47" s="213"/>
      <c r="HU47" s="213"/>
      <c r="HV47" s="213"/>
      <c r="HW47" s="213"/>
      <c r="HX47" s="213"/>
      <c r="HY47" s="213"/>
      <c r="HZ47" s="213"/>
      <c r="IA47" s="213"/>
      <c r="IB47" s="213"/>
      <c r="IC47" s="213"/>
      <c r="ID47" s="213"/>
      <c r="IE47" s="213"/>
      <c r="IF47" s="213"/>
      <c r="IG47" s="213"/>
      <c r="IH47" s="213"/>
    </row>
    <row r="48" spans="1:242" ht="15.75">
      <c r="A48" s="125"/>
      <c r="B48" s="304"/>
      <c r="C48" s="272" t="s">
        <v>95</v>
      </c>
      <c r="D48" s="200">
        <f>MAX(Analysis!C134:C136)</f>
        <v>0</v>
      </c>
      <c r="E48" s="202">
        <f>MAX(Analysis!E134:E136)</f>
        <v>35.8543425</v>
      </c>
      <c r="F48" s="200">
        <f>IF(F47=" ","~",MAX(Analysis!F134:F136))</f>
        <v>58.192543474335864</v>
      </c>
      <c r="G48" s="202">
        <f>IF(F47=" ","~",MAX(Analysis!H134:H136))</f>
        <v>66.82226596891128</v>
      </c>
      <c r="H48" s="200">
        <f>IF(H47=" ","~",MAX(Analysis!I134:I136))</f>
        <v>70.25575332098386</v>
      </c>
      <c r="I48" s="202">
        <f>IF(H47=" ","~",MAX(Analysis!K134:K136))</f>
        <v>47.93989114015462</v>
      </c>
      <c r="J48" s="331"/>
      <c r="K48" s="302"/>
      <c r="L48" s="15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c r="IC48" s="199"/>
      <c r="ID48" s="199"/>
      <c r="IE48" s="199"/>
      <c r="IF48" s="199"/>
      <c r="IG48" s="199"/>
      <c r="IH48" s="199"/>
    </row>
    <row r="49" spans="1:242" ht="15.75">
      <c r="A49" s="125"/>
      <c r="B49" s="304"/>
      <c r="C49" s="272" t="s">
        <v>96</v>
      </c>
      <c r="D49" s="215">
        <f>MAX(Analysis!C150:C152)</f>
        <v>0</v>
      </c>
      <c r="E49" s="216">
        <f>MAX(Analysis!E150:E152)</f>
        <v>35.8543425</v>
      </c>
      <c r="F49" s="215">
        <f>IF(F47=" ","~",MAX(Analysis!F150:F152))</f>
        <v>59.09004631333019</v>
      </c>
      <c r="G49" s="216">
        <f>IF(F47=" ","~",MAX(Analysis!H150:H152))</f>
        <v>67.12416064141854</v>
      </c>
      <c r="H49" s="215">
        <f>IF(H47=" ","~",MAX(Analysis!I150:I152))</f>
        <v>68.29700496866961</v>
      </c>
      <c r="I49" s="216">
        <f>IF(H47=" ","~",MAX(Analysis!K150:K152))</f>
        <v>46.55126016534448</v>
      </c>
      <c r="J49" s="331"/>
      <c r="K49" s="302"/>
      <c r="L49" s="15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c r="IC49" s="199"/>
      <c r="ID49" s="199"/>
      <c r="IE49" s="199"/>
      <c r="IF49" s="199"/>
      <c r="IG49" s="199"/>
      <c r="IH49" s="199"/>
    </row>
    <row r="50" spans="1:242" ht="15.75">
      <c r="A50" s="125"/>
      <c r="B50" s="304"/>
      <c r="C50" s="267"/>
      <c r="D50" s="336"/>
      <c r="E50" s="336"/>
      <c r="F50" s="336"/>
      <c r="G50" s="337"/>
      <c r="H50" s="337"/>
      <c r="I50" s="336"/>
      <c r="J50" s="331"/>
      <c r="K50" s="302"/>
      <c r="L50" s="15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c r="HP50" s="199"/>
      <c r="HQ50" s="199"/>
      <c r="HR50" s="199"/>
      <c r="HS50" s="199"/>
      <c r="HT50" s="199"/>
      <c r="HU50" s="199"/>
      <c r="HV50" s="199"/>
      <c r="HW50" s="199"/>
      <c r="HX50" s="199"/>
      <c r="HY50" s="199"/>
      <c r="HZ50" s="199"/>
      <c r="IA50" s="199"/>
      <c r="IB50" s="199"/>
      <c r="IC50" s="199"/>
      <c r="ID50" s="199"/>
      <c r="IE50" s="199"/>
      <c r="IF50" s="199"/>
      <c r="IG50" s="199"/>
      <c r="IH50" s="199"/>
    </row>
    <row r="51" spans="1:242" ht="15.75">
      <c r="A51" s="125"/>
      <c r="B51" s="327" t="str">
        <f>IF(D$50=" ",D$50,B47)</f>
        <v>SPAN No</v>
      </c>
      <c r="C51" s="290"/>
      <c r="D51" s="446" t="str">
        <f>G28</f>
        <v> </v>
      </c>
      <c r="E51" s="447"/>
      <c r="F51" s="446" t="str">
        <f>H28</f>
        <v> </v>
      </c>
      <c r="G51" s="447"/>
      <c r="H51" s="446" t="str">
        <f>I28</f>
        <v> </v>
      </c>
      <c r="I51" s="447"/>
      <c r="J51" s="331"/>
      <c r="K51" s="302"/>
      <c r="L51" s="159"/>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c r="FJ51" s="203"/>
      <c r="FK51" s="203"/>
      <c r="FL51" s="203"/>
      <c r="FM51" s="203"/>
      <c r="FN51" s="203"/>
      <c r="FO51" s="203"/>
      <c r="FP51" s="203"/>
      <c r="FQ51" s="203"/>
      <c r="FR51" s="203"/>
      <c r="FS51" s="203"/>
      <c r="FT51" s="203"/>
      <c r="FU51" s="203"/>
      <c r="FV51" s="203"/>
      <c r="FW51" s="203"/>
      <c r="FX51" s="203"/>
      <c r="FY51" s="203"/>
      <c r="FZ51" s="203"/>
      <c r="GA51" s="203"/>
      <c r="GB51" s="203"/>
      <c r="GC51" s="203"/>
      <c r="GD51" s="203"/>
      <c r="GE51" s="203"/>
      <c r="GF51" s="203"/>
      <c r="GG51" s="203"/>
      <c r="GH51" s="203"/>
      <c r="GI51" s="203"/>
      <c r="GJ51" s="203"/>
      <c r="GK51" s="203"/>
      <c r="GL51" s="203"/>
      <c r="GM51" s="203"/>
      <c r="GN51" s="203"/>
      <c r="GO51" s="203"/>
      <c r="GP51" s="203"/>
      <c r="GQ51" s="203"/>
      <c r="GR51" s="203"/>
      <c r="GS51" s="203"/>
      <c r="GT51" s="203"/>
      <c r="GU51" s="203"/>
      <c r="GV51" s="203"/>
      <c r="GW51" s="203"/>
      <c r="GX51" s="203"/>
      <c r="GY51" s="203"/>
      <c r="GZ51" s="203"/>
      <c r="HA51" s="203"/>
      <c r="HB51" s="203"/>
      <c r="HC51" s="203"/>
      <c r="HD51" s="203"/>
      <c r="HE51" s="203"/>
      <c r="HF51" s="203"/>
      <c r="HG51" s="203"/>
      <c r="HH51" s="203"/>
      <c r="HI51" s="203"/>
      <c r="HJ51" s="203"/>
      <c r="HK51" s="203"/>
      <c r="HL51" s="203"/>
      <c r="HM51" s="203"/>
      <c r="HN51" s="203"/>
      <c r="HO51" s="203"/>
      <c r="HP51" s="203"/>
      <c r="HQ51" s="203"/>
      <c r="HR51" s="203"/>
      <c r="HS51" s="203"/>
      <c r="HT51" s="203"/>
      <c r="HU51" s="203"/>
      <c r="HV51" s="203"/>
      <c r="HW51" s="203"/>
      <c r="HX51" s="203"/>
      <c r="HY51" s="203"/>
      <c r="HZ51" s="203"/>
      <c r="IA51" s="203"/>
      <c r="IB51" s="203"/>
      <c r="IC51" s="203"/>
      <c r="ID51" s="203"/>
      <c r="IE51" s="203"/>
      <c r="IF51" s="203"/>
      <c r="IG51" s="203"/>
      <c r="IH51" s="203"/>
    </row>
    <row r="52" spans="1:242" ht="15.75">
      <c r="A52" s="125"/>
      <c r="B52" s="304"/>
      <c r="C52" s="272" t="s">
        <v>95</v>
      </c>
      <c r="D52" s="200" t="str">
        <f>IF(D51=" ","~",MAX(Analysis!C138:C140))</f>
        <v>~</v>
      </c>
      <c r="E52" s="202" t="str">
        <f>IF(D51=" ","~",MAX(Analysis!E138:E140))</f>
        <v>~</v>
      </c>
      <c r="F52" s="200" t="str">
        <f>IF(F51=" ","~",MAX(Analysis!F138:F140))</f>
        <v>~</v>
      </c>
      <c r="G52" s="202" t="str">
        <f>IF(F51=" ","~",MAX(Analysis!H138:H140))</f>
        <v>~</v>
      </c>
      <c r="H52" s="200" t="str">
        <f>IF(H51=" ","~",MAX(Analysis!I138:I140))</f>
        <v>~</v>
      </c>
      <c r="I52" s="202" t="str">
        <f>IF(H51=" ","~",MAX(Analysis!K138:K140))</f>
        <v>~</v>
      </c>
      <c r="J52" s="331"/>
      <c r="K52" s="302"/>
      <c r="L52" s="159"/>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3"/>
      <c r="EX52" s="203"/>
      <c r="EY52" s="203"/>
      <c r="EZ52" s="203"/>
      <c r="FA52" s="203"/>
      <c r="FB52" s="203"/>
      <c r="FC52" s="203"/>
      <c r="FD52" s="203"/>
      <c r="FE52" s="203"/>
      <c r="FF52" s="203"/>
      <c r="FG52" s="203"/>
      <c r="FH52" s="203"/>
      <c r="FI52" s="203"/>
      <c r="FJ52" s="203"/>
      <c r="FK52" s="203"/>
      <c r="FL52" s="203"/>
      <c r="FM52" s="203"/>
      <c r="FN52" s="203"/>
      <c r="FO52" s="203"/>
      <c r="FP52" s="203"/>
      <c r="FQ52" s="203"/>
      <c r="FR52" s="203"/>
      <c r="FS52" s="203"/>
      <c r="FT52" s="203"/>
      <c r="FU52" s="203"/>
      <c r="FV52" s="203"/>
      <c r="FW52" s="203"/>
      <c r="FX52" s="203"/>
      <c r="FY52" s="203"/>
      <c r="FZ52" s="203"/>
      <c r="GA52" s="203"/>
      <c r="GB52" s="203"/>
      <c r="GC52" s="203"/>
      <c r="GD52" s="203"/>
      <c r="GE52" s="203"/>
      <c r="GF52" s="203"/>
      <c r="GG52" s="203"/>
      <c r="GH52" s="203"/>
      <c r="GI52" s="203"/>
      <c r="GJ52" s="203"/>
      <c r="GK52" s="203"/>
      <c r="GL52" s="203"/>
      <c r="GM52" s="203"/>
      <c r="GN52" s="203"/>
      <c r="GO52" s="203"/>
      <c r="GP52" s="203"/>
      <c r="GQ52" s="203"/>
      <c r="GR52" s="203"/>
      <c r="GS52" s="203"/>
      <c r="GT52" s="203"/>
      <c r="GU52" s="203"/>
      <c r="GV52" s="203"/>
      <c r="GW52" s="203"/>
      <c r="GX52" s="203"/>
      <c r="GY52" s="203"/>
      <c r="GZ52" s="203"/>
      <c r="HA52" s="203"/>
      <c r="HB52" s="203"/>
      <c r="HC52" s="203"/>
      <c r="HD52" s="203"/>
      <c r="HE52" s="203"/>
      <c r="HF52" s="203"/>
      <c r="HG52" s="203"/>
      <c r="HH52" s="203"/>
      <c r="HI52" s="203"/>
      <c r="HJ52" s="203"/>
      <c r="HK52" s="203"/>
      <c r="HL52" s="203"/>
      <c r="HM52" s="203"/>
      <c r="HN52" s="203"/>
      <c r="HO52" s="203"/>
      <c r="HP52" s="203"/>
      <c r="HQ52" s="203"/>
      <c r="HR52" s="203"/>
      <c r="HS52" s="203"/>
      <c r="HT52" s="203"/>
      <c r="HU52" s="203"/>
      <c r="HV52" s="203"/>
      <c r="HW52" s="203"/>
      <c r="HX52" s="203"/>
      <c r="HY52" s="203"/>
      <c r="HZ52" s="203"/>
      <c r="IA52" s="203"/>
      <c r="IB52" s="203"/>
      <c r="IC52" s="203"/>
      <c r="ID52" s="203"/>
      <c r="IE52" s="203"/>
      <c r="IF52" s="203"/>
      <c r="IG52" s="203"/>
      <c r="IH52" s="203"/>
    </row>
    <row r="53" spans="1:242" ht="15.75">
      <c r="A53" s="125"/>
      <c r="B53" s="304"/>
      <c r="C53" s="272" t="s">
        <v>96</v>
      </c>
      <c r="D53" s="215" t="str">
        <f>IF(D51=" ","~",MAX(Analysis!C155:C157))</f>
        <v>~</v>
      </c>
      <c r="E53" s="216" t="str">
        <f>IF(D51=" ","~",MAX(Analysis!E155:E157))</f>
        <v>~</v>
      </c>
      <c r="F53" s="215" t="str">
        <f>IF(F51=" ","~",MAX(Analysis!F155:F157))</f>
        <v>~</v>
      </c>
      <c r="G53" s="216" t="str">
        <f>IF(F51=" ","~",MAX(Analysis!H155:H157))</f>
        <v>~</v>
      </c>
      <c r="H53" s="215" t="str">
        <f>IF(H51=" ","~",MAX(Analysis!I155:I157))</f>
        <v>~</v>
      </c>
      <c r="I53" s="216" t="str">
        <f>IF(H51=" ","~",MAX(Analysis!K155:K157))</f>
        <v>~</v>
      </c>
      <c r="J53" s="331"/>
      <c r="K53" s="302"/>
      <c r="L53" s="159"/>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c r="FG53" s="203"/>
      <c r="FH53" s="203"/>
      <c r="FI53" s="203"/>
      <c r="FJ53" s="203"/>
      <c r="FK53" s="203"/>
      <c r="FL53" s="203"/>
      <c r="FM53" s="203"/>
      <c r="FN53" s="203"/>
      <c r="FO53" s="203"/>
      <c r="FP53" s="203"/>
      <c r="FQ53" s="203"/>
      <c r="FR53" s="203"/>
      <c r="FS53" s="203"/>
      <c r="FT53" s="203"/>
      <c r="FU53" s="203"/>
      <c r="FV53" s="203"/>
      <c r="FW53" s="203"/>
      <c r="FX53" s="203"/>
      <c r="FY53" s="203"/>
      <c r="FZ53" s="203"/>
      <c r="GA53" s="203"/>
      <c r="GB53" s="203"/>
      <c r="GC53" s="203"/>
      <c r="GD53" s="203"/>
      <c r="GE53" s="203"/>
      <c r="GF53" s="203"/>
      <c r="GG53" s="203"/>
      <c r="GH53" s="203"/>
      <c r="GI53" s="203"/>
      <c r="GJ53" s="203"/>
      <c r="GK53" s="203"/>
      <c r="GL53" s="203"/>
      <c r="GM53" s="203"/>
      <c r="GN53" s="203"/>
      <c r="GO53" s="203"/>
      <c r="GP53" s="203"/>
      <c r="GQ53" s="203"/>
      <c r="GR53" s="203"/>
      <c r="GS53" s="203"/>
      <c r="GT53" s="203"/>
      <c r="GU53" s="203"/>
      <c r="GV53" s="203"/>
      <c r="GW53" s="203"/>
      <c r="GX53" s="203"/>
      <c r="GY53" s="203"/>
      <c r="GZ53" s="203"/>
      <c r="HA53" s="203"/>
      <c r="HB53" s="203"/>
      <c r="HC53" s="203"/>
      <c r="HD53" s="203"/>
      <c r="HE53" s="203"/>
      <c r="HF53" s="203"/>
      <c r="HG53" s="203"/>
      <c r="HH53" s="203"/>
      <c r="HI53" s="203"/>
      <c r="HJ53" s="203"/>
      <c r="HK53" s="203"/>
      <c r="HL53" s="203"/>
      <c r="HM53" s="203"/>
      <c r="HN53" s="203"/>
      <c r="HO53" s="203"/>
      <c r="HP53" s="203"/>
      <c r="HQ53" s="203"/>
      <c r="HR53" s="203"/>
      <c r="HS53" s="203"/>
      <c r="HT53" s="203"/>
      <c r="HU53" s="203"/>
      <c r="HV53" s="203"/>
      <c r="HW53" s="203"/>
      <c r="HX53" s="203"/>
      <c r="HY53" s="203"/>
      <c r="HZ53" s="203"/>
      <c r="IA53" s="203"/>
      <c r="IB53" s="203"/>
      <c r="IC53" s="203"/>
      <c r="ID53" s="203"/>
      <c r="IE53" s="203"/>
      <c r="IF53" s="203"/>
      <c r="IG53" s="203"/>
      <c r="IH53" s="203"/>
    </row>
    <row r="54" spans="1:242" ht="10.5" customHeight="1" thickBot="1">
      <c r="A54" s="125"/>
      <c r="B54" s="338"/>
      <c r="C54" s="339"/>
      <c r="D54" s="339"/>
      <c r="E54" s="339"/>
      <c r="F54" s="339"/>
      <c r="G54" s="339"/>
      <c r="H54" s="339"/>
      <c r="I54" s="339"/>
      <c r="J54" s="339"/>
      <c r="K54" s="340"/>
      <c r="L54" s="15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c r="IC54" s="199"/>
      <c r="ID54" s="199"/>
      <c r="IE54" s="199"/>
      <c r="IF54" s="199"/>
      <c r="IG54" s="199"/>
      <c r="IH54" s="199"/>
    </row>
    <row r="55" spans="1:242" ht="21.75" thickTop="1">
      <c r="A55" s="125"/>
      <c r="B55" s="217"/>
      <c r="C55" s="125"/>
      <c r="D55" s="125"/>
      <c r="E55" s="125"/>
      <c r="F55" s="125"/>
      <c r="G55" s="125"/>
      <c r="H55" s="125"/>
      <c r="I55" s="125"/>
      <c r="J55" s="125"/>
      <c r="K55" s="125"/>
      <c r="L55" s="218"/>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row>
    <row r="56" ht="15.75">
      <c r="B56" s="214"/>
    </row>
    <row r="57" ht="15.75">
      <c r="B57" s="213"/>
    </row>
    <row r="58" ht="15.75">
      <c r="B58" s="213"/>
    </row>
  </sheetData>
  <sheetProtection sheet="1" objects="1" scenarios="1"/>
  <mergeCells count="1">
    <mergeCell ref="I2:K2"/>
  </mergeCells>
  <conditionalFormatting sqref="L22:L25 L27:L28">
    <cfRule type="cellIs" priority="1" dxfId="1" operator="equal" stopIfTrue="1">
      <formula>""</formula>
    </cfRule>
  </conditionalFormatting>
  <conditionalFormatting sqref="E31:I31">
    <cfRule type="expression" priority="2" dxfId="0" stopIfTrue="1">
      <formula>E$28=" "</formula>
    </cfRule>
  </conditionalFormatting>
  <printOptions horizontalCentered="1"/>
  <pageMargins left="0.6299212598425197" right="0.3937007874015748" top="0.4724409448818898" bottom="0.4724409448818898" header="0" footer="0"/>
  <pageSetup fitToHeight="1" fitToWidth="1" horizontalDpi="300" verticalDpi="300" orientation="portrait" paperSize="9" scale="77" r:id="rId3"/>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X145"/>
  <sheetViews>
    <sheetView showGridLines="0" zoomScale="75" zoomScaleNormal="75" workbookViewId="0" topLeftCell="A1">
      <selection activeCell="A1" sqref="A1"/>
    </sheetView>
  </sheetViews>
  <sheetFormatPr defaultColWidth="9.140625" defaultRowHeight="12.75"/>
  <cols>
    <col min="1" max="1" width="4.421875" style="127" customWidth="1"/>
    <col min="2" max="2" width="13.140625" style="127" customWidth="1"/>
    <col min="3" max="3" width="10.28125" style="127" customWidth="1"/>
    <col min="4" max="4" width="8.57421875" style="127" customWidth="1"/>
    <col min="5" max="7" width="8.7109375" style="127" customWidth="1"/>
    <col min="8" max="8" width="10.28125" style="127" customWidth="1"/>
    <col min="9" max="10" width="8.7109375" style="127" customWidth="1"/>
    <col min="11" max="11" width="9.00390625" style="127" customWidth="1"/>
    <col min="12" max="12" width="11.8515625" style="127" customWidth="1"/>
    <col min="13" max="13" width="9.421875" style="127" customWidth="1"/>
    <col min="14" max="14" width="65.140625" style="127" customWidth="1"/>
    <col min="15" max="15" width="9.7109375" style="127" bestFit="1" customWidth="1"/>
    <col min="16" max="16384" width="9.140625" style="127" customWidth="1"/>
  </cols>
  <sheetData>
    <row r="1" spans="1:24" ht="19.5" thickBot="1">
      <c r="A1" s="124"/>
      <c r="B1" s="125"/>
      <c r="C1" s="125"/>
      <c r="D1" s="125"/>
      <c r="E1" s="125"/>
      <c r="F1" s="125"/>
      <c r="G1" s="125"/>
      <c r="H1" s="125"/>
      <c r="I1" s="125"/>
      <c r="J1" s="125"/>
      <c r="K1" s="125"/>
      <c r="L1" s="125"/>
      <c r="M1" s="125"/>
      <c r="N1" s="126" t="s">
        <v>0</v>
      </c>
      <c r="O1" s="168" t="str">
        <f>IF(MAIN!C12&lt;425," R",IF(MAIN!C12=460," T"," Y"))</f>
        <v> T</v>
      </c>
      <c r="P1" s="160" t="s">
        <v>368</v>
      </c>
      <c r="S1" s="183"/>
      <c r="T1" s="500">
        <f>MAIN!J15/0.9</f>
        <v>111.11111111111111</v>
      </c>
      <c r="W1" s="213"/>
      <c r="X1" s="183"/>
    </row>
    <row r="2" spans="1:24" ht="29.25" customHeight="1" thickBot="1" thickTop="1">
      <c r="A2" s="219"/>
      <c r="B2" s="130" t="s">
        <v>1</v>
      </c>
      <c r="C2" s="526" t="str">
        <f>ACTIONS!C2</f>
        <v>Spreadsheets to BS 8110</v>
      </c>
      <c r="D2" s="131"/>
      <c r="E2" s="131"/>
      <c r="F2" s="131"/>
      <c r="G2" s="220"/>
      <c r="H2" s="220"/>
      <c r="I2" s="221"/>
      <c r="J2" s="505" t="str">
        <f>MAIN!I2</f>
        <v>REINFORCED CONCRETE COUNCIL</v>
      </c>
      <c r="K2" s="222"/>
      <c r="L2" s="132"/>
      <c r="M2" s="223"/>
      <c r="N2" s="135" t="s">
        <v>339</v>
      </c>
      <c r="O2" s="168" t="str">
        <f>IF(MAIN!C13&lt;425,"R",IF(MAIN!C13=460,"T","Y"))</f>
        <v>T</v>
      </c>
      <c r="P2" s="160" t="s">
        <v>97</v>
      </c>
      <c r="S2" s="224">
        <f>MAIN!I22-1</f>
        <v>3</v>
      </c>
      <c r="X2" s="183"/>
    </row>
    <row r="3" spans="1:24" ht="17.25" thickTop="1">
      <c r="A3" s="125"/>
      <c r="B3" s="136" t="s">
        <v>2</v>
      </c>
      <c r="C3" s="186" t="str">
        <f>ACTIONS!C3</f>
        <v>Advisory Group</v>
      </c>
      <c r="D3" s="137"/>
      <c r="E3" s="138"/>
      <c r="F3" s="139"/>
      <c r="G3" s="138"/>
      <c r="H3" s="138"/>
      <c r="I3" s="225"/>
      <c r="J3" s="140" t="s">
        <v>74</v>
      </c>
      <c r="L3" s="188" t="s">
        <v>75</v>
      </c>
      <c r="M3" s="189" t="s">
        <v>76</v>
      </c>
      <c r="N3" s="135" t="s">
        <v>340</v>
      </c>
      <c r="P3" s="160" t="s">
        <v>98</v>
      </c>
      <c r="S3" s="224" t="s">
        <v>133</v>
      </c>
      <c r="X3" s="183"/>
    </row>
    <row r="4" spans="1:24" ht="18.75">
      <c r="A4" s="125"/>
      <c r="B4" s="136" t="s">
        <v>5</v>
      </c>
      <c r="C4" s="186" t="str">
        <f>ACTIONS!C4</f>
        <v>3rd Floor slab,  from 1 to 5a</v>
      </c>
      <c r="D4" s="144"/>
      <c r="E4" s="145"/>
      <c r="F4" s="146"/>
      <c r="G4" s="138"/>
      <c r="H4" s="138"/>
      <c r="I4" s="225"/>
      <c r="J4" s="529" t="str">
        <f>ACTIONS!I4</f>
        <v>rmw</v>
      </c>
      <c r="K4" s="169"/>
      <c r="L4" s="528">
        <f>ACTIONS!J4</f>
        <v>39305</v>
      </c>
      <c r="M4" s="794" t="str">
        <f>IF(MAIN!O8="","",MAIN!O8&amp;"/")&amp;(2+MAIN!K4)</f>
        <v>45</v>
      </c>
      <c r="N4" s="135" t="s">
        <v>363</v>
      </c>
      <c r="P4" s="160" t="s">
        <v>99</v>
      </c>
      <c r="X4" s="183"/>
    </row>
    <row r="5" spans="1:24" ht="18.75">
      <c r="A5" s="125"/>
      <c r="B5" s="147"/>
      <c r="C5" s="527" t="str">
        <f>MAIN!C5</f>
        <v>RIBBED SLABS to BS 8110:1997 (Analysis &amp; Design)</v>
      </c>
      <c r="D5" s="149"/>
      <c r="E5" s="150"/>
      <c r="F5" s="146"/>
      <c r="G5" s="138"/>
      <c r="H5" s="138"/>
      <c r="I5" s="225"/>
      <c r="J5" s="140" t="s">
        <v>77</v>
      </c>
      <c r="K5" s="228"/>
      <c r="L5" s="151" t="s">
        <v>7</v>
      </c>
      <c r="M5" s="189" t="s">
        <v>78</v>
      </c>
      <c r="N5" s="135" t="s">
        <v>364</v>
      </c>
      <c r="X5" s="183"/>
    </row>
    <row r="6" spans="1:24" ht="18.75" thickBot="1">
      <c r="A6" s="125"/>
      <c r="B6" s="152"/>
      <c r="C6" s="153" t="str">
        <f>MAIN!D6&amp;MAIN!E6</f>
        <v>Originated from  RCC32.xls v2.2 on CD               © 2000-2003 BCA for RCC</v>
      </c>
      <c r="D6" s="154"/>
      <c r="E6" s="155"/>
      <c r="F6" s="156"/>
      <c r="G6" s="229"/>
      <c r="H6" s="229"/>
      <c r="I6" s="230"/>
      <c r="J6" s="530" t="str">
        <f>IF(ACTIONS!I6=0,"",ACTIONS!I6)</f>
        <v>chg</v>
      </c>
      <c r="K6" s="531"/>
      <c r="L6" s="532" t="str">
        <f>IF(ACTIONS!J6=0,"",ACTIONS!J6)</f>
        <v>-</v>
      </c>
      <c r="M6" s="533" t="str">
        <f>MAIN!$K$6</f>
        <v>R68</v>
      </c>
      <c r="N6" s="125"/>
      <c r="P6" s="160"/>
      <c r="X6" s="183"/>
    </row>
    <row r="7" spans="1:24" ht="27.75" thickBot="1" thickTop="1">
      <c r="A7" s="129"/>
      <c r="B7" s="235"/>
      <c r="C7" s="138"/>
      <c r="D7" s="138"/>
      <c r="E7" s="138"/>
      <c r="F7" s="138"/>
      <c r="G7" s="138"/>
      <c r="H7" s="138"/>
      <c r="I7" s="138"/>
      <c r="J7" s="138"/>
      <c r="K7" s="138"/>
      <c r="L7" s="138"/>
      <c r="M7" s="138"/>
      <c r="N7" s="125"/>
      <c r="P7" s="160"/>
      <c r="X7" s="183"/>
    </row>
    <row r="8" spans="1:24" ht="19.5" thickTop="1">
      <c r="A8" s="125"/>
      <c r="B8" s="448" t="s">
        <v>100</v>
      </c>
      <c r="C8" s="341"/>
      <c r="D8" s="341"/>
      <c r="E8" s="449"/>
      <c r="F8" s="450" t="s">
        <v>101</v>
      </c>
      <c r="G8" s="451"/>
      <c r="H8" s="449"/>
      <c r="I8" s="450" t="s">
        <v>102</v>
      </c>
      <c r="J8" s="451"/>
      <c r="K8" s="449"/>
      <c r="L8" s="450" t="s">
        <v>103</v>
      </c>
      <c r="M8" s="452"/>
      <c r="N8" s="125"/>
      <c r="X8" s="183"/>
    </row>
    <row r="9" spans="1:24" ht="16.5" customHeight="1">
      <c r="A9" s="125"/>
      <c r="B9" s="453" t="s">
        <v>104</v>
      </c>
      <c r="C9" s="272" t="s">
        <v>105</v>
      </c>
      <c r="D9" s="343" t="s">
        <v>87</v>
      </c>
      <c r="E9" s="236"/>
      <c r="F9" s="201">
        <f>Bar!E11</f>
        <v>0</v>
      </c>
      <c r="G9" s="685"/>
      <c r="H9" s="236"/>
      <c r="I9" s="201">
        <f>Bar!G11</f>
        <v>0</v>
      </c>
      <c r="J9" s="237"/>
      <c r="K9" s="236"/>
      <c r="L9" s="201">
        <f>Bar!I11</f>
        <v>35.8543425</v>
      </c>
      <c r="M9" s="686"/>
      <c r="N9" s="125"/>
      <c r="X9" s="183"/>
    </row>
    <row r="10" spans="1:24" ht="16.5" customHeight="1">
      <c r="A10" s="125"/>
      <c r="B10" s="453"/>
      <c r="C10" s="272" t="s">
        <v>106</v>
      </c>
      <c r="D10" s="343"/>
      <c r="E10" s="238"/>
      <c r="F10" s="306">
        <f>Bar!E10</f>
        <v>1</v>
      </c>
      <c r="G10" s="239"/>
      <c r="H10" s="238"/>
      <c r="I10" s="306">
        <f>Bar!G10</f>
        <v>1</v>
      </c>
      <c r="J10" s="239"/>
      <c r="K10" s="238"/>
      <c r="L10" s="306">
        <f>Bar!I10</f>
        <v>1</v>
      </c>
      <c r="M10" s="345"/>
      <c r="N10" s="125"/>
      <c r="X10" s="183"/>
    </row>
    <row r="11" spans="1:24" ht="16.5" customHeight="1">
      <c r="A11" s="125"/>
      <c r="B11" s="453" t="s">
        <v>107</v>
      </c>
      <c r="C11" s="272" t="s">
        <v>108</v>
      </c>
      <c r="D11" s="343" t="s">
        <v>13</v>
      </c>
      <c r="E11" s="238"/>
      <c r="F11" s="329">
        <f>Bar!E13</f>
        <v>243</v>
      </c>
      <c r="G11" s="239"/>
      <c r="H11" s="823" t="str">
        <f>FIXED(Bar!G13,1)&amp;" (x="&amp;FIXED(O11,1)&amp;IF(O11&gt;T$1,"&gt;","&lt;")&amp;"hf/0.9)"</f>
        <v>239.0 (x=26.6&lt;hf/0.9)</v>
      </c>
      <c r="I11" s="824"/>
      <c r="J11" s="825"/>
      <c r="K11" s="238"/>
      <c r="L11" s="329">
        <f>Bar!I13</f>
        <v>239</v>
      </c>
      <c r="M11" s="345"/>
      <c r="N11" s="240"/>
      <c r="O11" s="429">
        <f>Bar!G20</f>
        <v>26.555555555555593</v>
      </c>
      <c r="X11" s="183"/>
    </row>
    <row r="12" spans="1:24" ht="16.5" customHeight="1">
      <c r="A12" s="125"/>
      <c r="B12" s="453"/>
      <c r="C12" s="272" t="s">
        <v>97</v>
      </c>
      <c r="D12" s="343" t="s">
        <v>109</v>
      </c>
      <c r="E12" s="238"/>
      <c r="F12" s="346">
        <f>MAX(Bar!E26,Bar!E41)</f>
        <v>16.152914598827238</v>
      </c>
      <c r="G12" s="239"/>
      <c r="H12" s="238"/>
      <c r="I12" s="346" t="str">
        <f>FIXED(Bar!G26,0)&amp;IF(Bar!G43-1&gt;Bar!G26,"   ("&amp;FIXED(Bar!G43,0)&amp;" mm² for defln)","")</f>
        <v>0</v>
      </c>
      <c r="J12" s="239"/>
      <c r="K12" s="238"/>
      <c r="L12" s="346">
        <f>MAX(Bar!I26,Bar!I41)</f>
        <v>324.4100003111746</v>
      </c>
      <c r="M12" s="345"/>
      <c r="N12" s="125"/>
      <c r="X12" s="183"/>
    </row>
    <row r="13" spans="1:24" ht="16.5" customHeight="1">
      <c r="A13" s="125"/>
      <c r="B13" s="453"/>
      <c r="C13" s="272" t="s">
        <v>110</v>
      </c>
      <c r="D13" s="343" t="s">
        <v>109</v>
      </c>
      <c r="E13" s="238"/>
      <c r="F13" s="346">
        <f>MAX(Bar!E24,Bar!E39)</f>
        <v>0</v>
      </c>
      <c r="G13" s="239"/>
      <c r="H13" s="272" t="str">
        <f>P$2&amp;IF(Bar!G41&gt;Bar!G24,P$3,P$4)</f>
        <v>As T</v>
      </c>
      <c r="I13" s="346">
        <f>MAX(Bar!G24,Bar!G41)</f>
        <v>186.90946866085898</v>
      </c>
      <c r="J13" s="239"/>
      <c r="K13" s="272" t="s">
        <v>110</v>
      </c>
      <c r="L13" s="346">
        <f>MAX(Bar!I24,Bar!I39)</f>
        <v>0</v>
      </c>
      <c r="M13" s="345"/>
      <c r="N13" s="502" t="s">
        <v>391</v>
      </c>
      <c r="X13" s="183"/>
    </row>
    <row r="14" spans="1:24" ht="16.5" customHeight="1">
      <c r="A14" s="125"/>
      <c r="B14" s="453" t="s">
        <v>111</v>
      </c>
      <c r="C14" s="272"/>
      <c r="D14" s="343"/>
      <c r="E14" s="455" t="str">
        <f>FIXED(Bar!E46,0)&amp;$O$1</f>
        <v>2 T</v>
      </c>
      <c r="F14" s="481">
        <v>12</v>
      </c>
      <c r="G14" s="483" t="s">
        <v>375</v>
      </c>
      <c r="H14" s="455" t="str">
        <f>FIXED(Bar!G61,0)&amp;$O$1</f>
        <v>1 T</v>
      </c>
      <c r="I14" s="481">
        <v>16</v>
      </c>
      <c r="J14" s="483" t="s">
        <v>375</v>
      </c>
      <c r="K14" s="455" t="str">
        <f>FIXED(Bar!I46,0)&amp;$O$1</f>
        <v>2 T</v>
      </c>
      <c r="L14" s="481">
        <v>20</v>
      </c>
      <c r="M14" s="484" t="s">
        <v>375</v>
      </c>
      <c r="N14" s="695" t="str">
        <f>IF(AND(I14&gt;0,I13+I21=0),"SPAN TOP STEEL NOT NEEDED","")</f>
        <v></v>
      </c>
      <c r="O14" s="160"/>
      <c r="X14" s="183"/>
    </row>
    <row r="15" spans="1:24" ht="16.5" customHeight="1">
      <c r="A15" s="125"/>
      <c r="B15" s="453"/>
      <c r="C15" s="272"/>
      <c r="D15" s="343"/>
      <c r="E15" s="455"/>
      <c r="F15" s="485" t="str">
        <f>"+ "&amp;Bar!E56&amp;$O$1&amp;Bar!E55&amp;" between"</f>
        <v>+ 4 T8 between</v>
      </c>
      <c r="G15" s="480"/>
      <c r="H15" s="482"/>
      <c r="I15" s="454"/>
      <c r="J15" s="480"/>
      <c r="K15" s="482"/>
      <c r="L15" s="485" t="str">
        <f>"+ "&amp;Bar!I56&amp;$O$1&amp;Bar!I55&amp;" between"</f>
        <v>+ 4 T8 between</v>
      </c>
      <c r="M15" s="287"/>
      <c r="N15" s="688"/>
      <c r="O15" s="160"/>
      <c r="X15" s="183"/>
    </row>
    <row r="16" spans="1:24" ht="16.5" customHeight="1">
      <c r="A16" s="125"/>
      <c r="B16" s="453"/>
      <c r="C16" s="272" t="s">
        <v>112</v>
      </c>
      <c r="D16" s="343" t="s">
        <v>109</v>
      </c>
      <c r="E16" s="242"/>
      <c r="F16" s="346">
        <f>Bar!E47+Bar!E57</f>
        <v>427.2566008882119</v>
      </c>
      <c r="G16" s="239"/>
      <c r="H16" s="272" t="str">
        <f>H13&amp;" prov"</f>
        <v>As T prov</v>
      </c>
      <c r="I16" s="346">
        <f>Bar!G62</f>
        <v>201.06192982974676</v>
      </c>
      <c r="J16" s="239"/>
      <c r="K16" s="272" t="s">
        <v>112</v>
      </c>
      <c r="L16" s="346">
        <f>Bar!I47+Bar!I57</f>
        <v>829.3804605477054</v>
      </c>
      <c r="M16" s="345"/>
      <c r="N16" s="689"/>
      <c r="X16" s="183"/>
    </row>
    <row r="17" spans="1:24" ht="16.5" customHeight="1">
      <c r="A17" s="125"/>
      <c r="B17" s="453" t="s">
        <v>113</v>
      </c>
      <c r="C17" s="272"/>
      <c r="D17" s="343"/>
      <c r="E17" s="455" t="str">
        <f>FIXED(Bar!E61,0)&amp;$O$1</f>
        <v>1 T</v>
      </c>
      <c r="F17" s="481">
        <v>16</v>
      </c>
      <c r="G17" s="483" t="s">
        <v>375</v>
      </c>
      <c r="H17" s="455" t="str">
        <f>FIXED(Bar!G46,0)&amp;$O$1</f>
        <v>1 T</v>
      </c>
      <c r="I17" s="481">
        <v>20</v>
      </c>
      <c r="J17" s="483" t="s">
        <v>375</v>
      </c>
      <c r="K17" s="455" t="str">
        <f>FIXED(Bar!I61,0)&amp;$O$1</f>
        <v>1 T</v>
      </c>
      <c r="L17" s="481">
        <v>12</v>
      </c>
      <c r="M17" s="484" t="s">
        <v>375</v>
      </c>
      <c r="N17" s="241"/>
      <c r="X17" s="183"/>
    </row>
    <row r="18" spans="1:24" ht="16.5" customHeight="1">
      <c r="A18" s="125"/>
      <c r="B18" s="453"/>
      <c r="C18" s="272" t="s">
        <v>114</v>
      </c>
      <c r="D18" s="343" t="s">
        <v>109</v>
      </c>
      <c r="E18" s="238"/>
      <c r="F18" s="346">
        <f>Bar!E62</f>
        <v>201.06192982974676</v>
      </c>
      <c r="G18" s="239"/>
      <c r="H18" s="272" t="s">
        <v>112</v>
      </c>
      <c r="I18" s="346">
        <f>Bar!G47</f>
        <v>314.1592653589793</v>
      </c>
      <c r="J18" s="239"/>
      <c r="K18" s="272" t="s">
        <v>114</v>
      </c>
      <c r="L18" s="346">
        <f>Bar!I62</f>
        <v>113.09733552923255</v>
      </c>
      <c r="M18" s="345"/>
      <c r="N18" s="125"/>
      <c r="X18" s="183"/>
    </row>
    <row r="19" spans="1:24" ht="16.5" customHeight="1">
      <c r="A19" s="125"/>
      <c r="B19" s="453" t="s">
        <v>115</v>
      </c>
      <c r="C19" s="272" t="s">
        <v>116</v>
      </c>
      <c r="D19" s="343" t="s">
        <v>71</v>
      </c>
      <c r="E19" s="238"/>
      <c r="F19" s="306">
        <f>Bar!E82</f>
        <v>0</v>
      </c>
      <c r="G19" s="239"/>
      <c r="H19" s="238"/>
      <c r="I19" s="306"/>
      <c r="J19" s="239"/>
      <c r="K19" s="272" t="s">
        <v>116</v>
      </c>
      <c r="L19" s="306">
        <f>Bar!I82</f>
        <v>35.8543425</v>
      </c>
      <c r="M19" s="345"/>
      <c r="N19" s="125"/>
      <c r="X19" s="183"/>
    </row>
    <row r="20" spans="1:24" ht="16.5">
      <c r="A20" s="125"/>
      <c r="B20" s="453"/>
      <c r="C20" s="272" t="s">
        <v>117</v>
      </c>
      <c r="D20" s="343" t="s">
        <v>11</v>
      </c>
      <c r="E20" s="238"/>
      <c r="F20" s="330">
        <f>Bar!E85</f>
        <v>-0.154089552238806</v>
      </c>
      <c r="G20" s="239"/>
      <c r="H20" s="238"/>
      <c r="I20" s="330"/>
      <c r="J20" s="239"/>
      <c r="K20" s="272" t="s">
        <v>117</v>
      </c>
      <c r="L20" s="330">
        <f>Bar!I85</f>
        <v>0.4231004371448199</v>
      </c>
      <c r="M20" s="345"/>
      <c r="N20" s="125"/>
      <c r="X20" s="183"/>
    </row>
    <row r="21" spans="1:24" ht="16.5" customHeight="1">
      <c r="A21" s="125"/>
      <c r="B21" s="453"/>
      <c r="C21" s="272" t="s">
        <v>118</v>
      </c>
      <c r="D21" s="343" t="s">
        <v>11</v>
      </c>
      <c r="E21" s="238"/>
      <c r="F21" s="330">
        <f>Bar!E86</f>
        <v>0.6584057544734734</v>
      </c>
      <c r="G21" s="239"/>
      <c r="H21" s="272" t="s">
        <v>119</v>
      </c>
      <c r="I21" s="270">
        <v>6</v>
      </c>
      <c r="J21" s="239"/>
      <c r="K21" s="272" t="s">
        <v>118</v>
      </c>
      <c r="L21" s="330">
        <f>Bar!I86</f>
        <v>0.9345394807245901</v>
      </c>
      <c r="M21" s="345"/>
      <c r="N21" s="403" t="str">
        <f>IF(AND(O$21=0,I21=0),"ADD LINK Ø",IF(AND(O$21=1,I21&gt;0),"NO LINKS - REMOVE Ø",""))</f>
        <v></v>
      </c>
      <c r="O21" s="500">
        <f>IF(MAIN!R4=MAIN!R2,1,0)</f>
        <v>0</v>
      </c>
      <c r="X21" s="183"/>
    </row>
    <row r="22" spans="1:24" ht="16.5" customHeight="1">
      <c r="A22" s="125"/>
      <c r="B22" s="453" t="s">
        <v>376</v>
      </c>
      <c r="C22" s="272"/>
      <c r="D22" s="343"/>
      <c r="E22" s="456" t="str">
        <f>IF(F20&gt;F21,"2"&amp;$O$2&amp;FIXED($I21,0)&amp;" @ "&amp;FIXED(Bar!E89,0)&amp;" for "&amp;FIXED(Bar!E90,0,1),".")</f>
        <v>.</v>
      </c>
      <c r="F22" s="290"/>
      <c r="G22" s="243"/>
      <c r="H22" s="456" t="str">
        <f>"2"&amp;$O$2&amp;FIXED($I21,0)&amp;" @ "&amp;FIXED(Bar!G89,0)</f>
        <v>2T6 @ 1,200</v>
      </c>
      <c r="I22" s="290"/>
      <c r="J22" s="243"/>
      <c r="K22" s="456" t="str">
        <f>IF(L20&gt;L21,"2"&amp;$O$2&amp;FIXED($I21,0)&amp;" @ "&amp;FIXED(Bar!I89,0)&amp;" for "&amp;FIXED(Bar!I90,0,1),".")</f>
        <v>.</v>
      </c>
      <c r="L22" s="290"/>
      <c r="M22" s="291"/>
      <c r="N22" s="464" t="s">
        <v>367</v>
      </c>
      <c r="O22" s="500"/>
      <c r="X22" s="183"/>
    </row>
    <row r="23" spans="1:24" ht="16.5" customHeight="1">
      <c r="A23" s="125"/>
      <c r="B23" s="453" t="s">
        <v>120</v>
      </c>
      <c r="C23" s="272"/>
      <c r="D23" s="343"/>
      <c r="E23" s="244" t="s">
        <v>121</v>
      </c>
      <c r="F23" s="330">
        <f>MAX(Bar!E78,Bar!G78,Bar!I78)</f>
        <v>8.368200836820083</v>
      </c>
      <c r="G23" s="245"/>
      <c r="H23" s="272" t="s">
        <v>122</v>
      </c>
      <c r="I23" s="330">
        <f>MAX(Bar!E77,Bar!G77,Bar!I77)</f>
        <v>14</v>
      </c>
      <c r="J23" s="463" t="str">
        <f>IF(I23&gt;F23,"ok","FAILS")</f>
        <v>ok</v>
      </c>
      <c r="K23" s="347">
        <f>IF(MAX(Bar!E79,Bar!G79,Bar!I79)=0,"",P$1&amp;FIXED(MAX(Bar!E79,Bar!G79,Bar!I79)*100,1)&amp;"%)")</f>
      </c>
      <c r="L23" s="330"/>
      <c r="M23" s="302"/>
      <c r="N23" s="246"/>
      <c r="X23" s="183"/>
    </row>
    <row r="24" spans="1:24" ht="16.5" customHeight="1">
      <c r="A24" s="125"/>
      <c r="B24" s="453" t="s">
        <v>123</v>
      </c>
      <c r="C24" s="348" t="s">
        <v>124</v>
      </c>
      <c r="D24" s="349"/>
      <c r="E24" s="238"/>
      <c r="F24" s="457" t="str">
        <f>IF(AND(Bar!D48="ok",Bar!D63="ok"),"ok","FAILS")</f>
        <v>ok</v>
      </c>
      <c r="G24" s="247"/>
      <c r="H24" s="238"/>
      <c r="I24" s="457" t="str">
        <f>IF(AND(Bar!F48="ok",Bar!F63="ok"),"ok","FAILS")</f>
        <v>ok</v>
      </c>
      <c r="J24" s="247"/>
      <c r="K24" s="238"/>
      <c r="L24" s="457" t="str">
        <f>IF(AND(Bar!H48="ok",Bar!H63="ok"),"ok","FAILS")</f>
        <v>ok</v>
      </c>
      <c r="M24" s="350"/>
      <c r="N24" s="246"/>
      <c r="X24" s="183"/>
    </row>
    <row r="25" spans="1:24" ht="16.5" customHeight="1">
      <c r="A25" s="125"/>
      <c r="B25" s="303"/>
      <c r="C25" s="348" t="s">
        <v>125</v>
      </c>
      <c r="D25" s="349"/>
      <c r="E25" s="238"/>
      <c r="F25" s="457" t="str">
        <f>IF(AND(Bar!D45="ok",Bar!D60="ok"),"ok","FAILS")</f>
        <v>ok</v>
      </c>
      <c r="G25" s="247"/>
      <c r="H25" s="238"/>
      <c r="I25" s="457" t="str">
        <f>IF(AND(Bar!F45="ok",Bar!F60="ok"),"ok","FAILS")</f>
        <v>ok</v>
      </c>
      <c r="J25" s="247"/>
      <c r="K25" s="238"/>
      <c r="L25" s="457" t="str">
        <f>IF(AND(Bar!H45="ok",Bar!H60="ok"),"ok","FAILS")</f>
        <v>ok</v>
      </c>
      <c r="M25" s="350"/>
      <c r="N25" s="248"/>
      <c r="X25" s="183"/>
    </row>
    <row r="26" spans="1:24" ht="16.5">
      <c r="A26" s="125"/>
      <c r="B26" s="351"/>
      <c r="C26" s="348" t="s">
        <v>126</v>
      </c>
      <c r="D26" s="349"/>
      <c r="E26" s="238"/>
      <c r="F26" s="457" t="str">
        <f>IF(AND(AND(Bar!D50="ok",Bar!D51="ok"),Bar!D65="ok"),"ok","FAILS")</f>
        <v>ok</v>
      </c>
      <c r="G26" s="247"/>
      <c r="H26" s="238"/>
      <c r="I26" s="457" t="str">
        <f>IF(AND(AND(Bar!F50="ok",Bar!F51="ok"),Bar!F65="ok"),"ok","FAILS")</f>
        <v>ok</v>
      </c>
      <c r="J26" s="247"/>
      <c r="K26" s="238"/>
      <c r="L26" s="457" t="str">
        <f>IF(AND(AND(Bar!H50="ok",Bar!H51="ok"),Bar!H65="ok"),"ok","FAILS")</f>
        <v>ok</v>
      </c>
      <c r="M26" s="350"/>
      <c r="N26" s="249"/>
      <c r="X26" s="183"/>
    </row>
    <row r="27" spans="1:24" ht="27" thickBot="1">
      <c r="A27" s="129"/>
      <c r="B27" s="352"/>
      <c r="C27" s="353" t="s">
        <v>127</v>
      </c>
      <c r="D27" s="354"/>
      <c r="E27" s="355"/>
      <c r="F27" s="458" t="str">
        <f>Bar!D92</f>
        <v>ok</v>
      </c>
      <c r="G27" s="356"/>
      <c r="H27" s="355"/>
      <c r="I27" s="458" t="str">
        <f>IF(AND(Bar!F91="ok",Bar!F92="ok"),"ok","FAILS")</f>
        <v>ok</v>
      </c>
      <c r="J27" s="356"/>
      <c r="K27" s="355"/>
      <c r="L27" s="458" t="str">
        <f>Bar!H92</f>
        <v>ok</v>
      </c>
      <c r="M27" s="357"/>
      <c r="N27" s="125"/>
      <c r="X27" s="183"/>
    </row>
    <row r="28" spans="1:14" ht="27.75" thickBot="1" thickTop="1">
      <c r="A28" s="129"/>
      <c r="B28" s="235"/>
      <c r="C28" s="138"/>
      <c r="D28" s="138"/>
      <c r="E28" s="138"/>
      <c r="F28" s="138"/>
      <c r="G28" s="138"/>
      <c r="H28" s="138"/>
      <c r="I28" s="138"/>
      <c r="J28" s="138"/>
      <c r="K28" s="138"/>
      <c r="L28" s="138"/>
      <c r="M28" s="138"/>
      <c r="N28" s="125"/>
    </row>
    <row r="29" spans="1:14" ht="21" thickTop="1">
      <c r="A29" s="125"/>
      <c r="B29" s="448" t="s">
        <v>128</v>
      </c>
      <c r="C29" s="341"/>
      <c r="D29" s="341"/>
      <c r="E29" s="449"/>
      <c r="F29" s="450" t="s">
        <v>101</v>
      </c>
      <c r="G29" s="451"/>
      <c r="H29" s="449"/>
      <c r="I29" s="450" t="s">
        <v>102</v>
      </c>
      <c r="J29" s="451"/>
      <c r="K29" s="449"/>
      <c r="L29" s="450" t="s">
        <v>103</v>
      </c>
      <c r="M29" s="452"/>
      <c r="N29" s="459" t="str">
        <f>IF(MAIN!I$22&lt;3,"NO SPAN 2 - IGNORE","")</f>
        <v></v>
      </c>
    </row>
    <row r="30" spans="1:14" ht="15.75">
      <c r="A30" s="125"/>
      <c r="B30" s="453" t="s">
        <v>104</v>
      </c>
      <c r="C30" s="272" t="s">
        <v>105</v>
      </c>
      <c r="D30" s="343" t="s">
        <v>87</v>
      </c>
      <c r="E30" s="236"/>
      <c r="F30" s="201">
        <f>Bar!E101</f>
        <v>35.8543425</v>
      </c>
      <c r="G30" s="687"/>
      <c r="H30" s="236"/>
      <c r="I30" s="201">
        <f>Bar!G101</f>
        <v>62.290340831186654</v>
      </c>
      <c r="J30" s="237"/>
      <c r="K30" s="236"/>
      <c r="L30" s="201">
        <f>Bar!I101</f>
        <v>83.24680497335541</v>
      </c>
      <c r="M30" s="686"/>
      <c r="N30" s="125"/>
    </row>
    <row r="31" spans="1:14" ht="15.75">
      <c r="A31" s="125"/>
      <c r="B31" s="453"/>
      <c r="C31" s="272" t="s">
        <v>106</v>
      </c>
      <c r="D31" s="343"/>
      <c r="E31" s="238"/>
      <c r="F31" s="306">
        <f>Bar!E100</f>
        <v>1</v>
      </c>
      <c r="G31" s="239"/>
      <c r="H31" s="238"/>
      <c r="I31" s="306">
        <f>Bar!G100</f>
        <v>0.9369604514778225</v>
      </c>
      <c r="J31" s="239"/>
      <c r="K31" s="238"/>
      <c r="L31" s="306">
        <f>Bar!I100</f>
        <v>0.85</v>
      </c>
      <c r="M31" s="345"/>
      <c r="N31" s="125"/>
    </row>
    <row r="32" spans="1:15" ht="15.75">
      <c r="A32" s="125"/>
      <c r="B32" s="453" t="s">
        <v>107</v>
      </c>
      <c r="C32" s="272" t="s">
        <v>108</v>
      </c>
      <c r="D32" s="343" t="s">
        <v>13</v>
      </c>
      <c r="E32" s="238"/>
      <c r="F32" s="329">
        <f>Bar!E103</f>
        <v>239</v>
      </c>
      <c r="G32" s="239"/>
      <c r="H32" s="823" t="str">
        <f>FIXED(Bar!G103,1)&amp;" (x="&amp;FIXED(O32,1)&amp;IF(O32&gt;T$1,"&gt;","&lt;")&amp;"hf/0.9)"</f>
        <v>239.0 (x=26.6&lt;hf/0.9)</v>
      </c>
      <c r="I32" s="824"/>
      <c r="J32" s="825"/>
      <c r="K32" s="238"/>
      <c r="L32" s="329">
        <f>Bar!I103</f>
        <v>239</v>
      </c>
      <c r="M32" s="345"/>
      <c r="N32" s="125"/>
      <c r="O32" s="429">
        <f>Bar!G110</f>
        <v>26.555555555555593</v>
      </c>
    </row>
    <row r="33" spans="1:14" ht="15.75">
      <c r="A33" s="125"/>
      <c r="B33" s="453"/>
      <c r="C33" s="272" t="s">
        <v>97</v>
      </c>
      <c r="D33" s="343" t="s">
        <v>109</v>
      </c>
      <c r="E33" s="238"/>
      <c r="F33" s="346">
        <f>MAX(Bar!E116,Bar!E131)</f>
        <v>324.4100003111746</v>
      </c>
      <c r="G33" s="239"/>
      <c r="H33" s="238"/>
      <c r="I33" s="346" t="str">
        <f>FIXED(Bar!G116,0)&amp;IF(Bar!G140-1&gt;Bar!G116,"   ("&amp;FIXED(Bar!G140,0)&amp;" mm² for defln)","")</f>
        <v>564   (630 mm² for defln)</v>
      </c>
      <c r="J33" s="239"/>
      <c r="K33" s="238"/>
      <c r="L33" s="346">
        <f>MAX(Bar!I116,Bar!I131)</f>
        <v>753.2168809764262</v>
      </c>
      <c r="M33" s="345"/>
      <c r="N33" s="125"/>
    </row>
    <row r="34" spans="1:14" ht="15.75">
      <c r="A34" s="125"/>
      <c r="B34" s="453"/>
      <c r="C34" s="272" t="s">
        <v>110</v>
      </c>
      <c r="D34" s="343" t="s">
        <v>109</v>
      </c>
      <c r="E34" s="238"/>
      <c r="F34" s="346">
        <f>MAX(Bar!E114,Bar!E129)</f>
        <v>0</v>
      </c>
      <c r="G34" s="239"/>
      <c r="H34" s="272" t="str">
        <f>P$2&amp;IF(Bar!G131&gt;Bar!G114,P$3,P$4)</f>
        <v>As T</v>
      </c>
      <c r="I34" s="346">
        <f>MAX(Bar!G114,Bar!G131)</f>
        <v>348.4410583305283</v>
      </c>
      <c r="J34" s="239"/>
      <c r="K34" s="272" t="s">
        <v>110</v>
      </c>
      <c r="L34" s="346">
        <f>MAX(Bar!I114,Bar!I129)</f>
        <v>12.060284381561914</v>
      </c>
      <c r="M34" s="345"/>
      <c r="N34" s="502" t="s">
        <v>391</v>
      </c>
    </row>
    <row r="35" spans="1:14" ht="15.75">
      <c r="A35" s="125"/>
      <c r="B35" s="453" t="s">
        <v>111</v>
      </c>
      <c r="C35" s="272"/>
      <c r="D35" s="343"/>
      <c r="E35" s="455" t="str">
        <f>FIXED(Bar!E142,0)&amp;$O$1</f>
        <v>2 T</v>
      </c>
      <c r="F35" s="486">
        <f>L14</f>
        <v>20</v>
      </c>
      <c r="G35" s="483" t="s">
        <v>375</v>
      </c>
      <c r="H35" s="455" t="str">
        <f>FIXED(Bar!G157,0)&amp;$O$1</f>
        <v>4 T</v>
      </c>
      <c r="I35" s="481">
        <v>12</v>
      </c>
      <c r="J35" s="483" t="s">
        <v>375</v>
      </c>
      <c r="K35" s="455" t="str">
        <f>FIXED(Bar!I142,0)&amp;$O$1</f>
        <v>2 T</v>
      </c>
      <c r="L35" s="481">
        <v>20</v>
      </c>
      <c r="M35" s="484" t="s">
        <v>375</v>
      </c>
      <c r="N35" s="695" t="str">
        <f>IF(AND(I35&gt;0,I34+I42=0),"SPAN TOP STEEL NOT NEEDED","")</f>
        <v></v>
      </c>
    </row>
    <row r="36" spans="1:14" ht="15.75">
      <c r="A36" s="125"/>
      <c r="B36" s="453"/>
      <c r="C36" s="272"/>
      <c r="D36" s="343"/>
      <c r="E36" s="455"/>
      <c r="F36" s="487" t="str">
        <f>"+ "&amp;Bar!E152&amp;$O$1&amp;Bar!E151&amp;" between"</f>
        <v>+ 4 T8 between</v>
      </c>
      <c r="G36" s="483"/>
      <c r="H36" s="482"/>
      <c r="I36" s="454"/>
      <c r="J36" s="483"/>
      <c r="K36" s="482"/>
      <c r="L36" s="487" t="str">
        <f>"+ "&amp;Bar!I152&amp;$O$1&amp;Bar!I151&amp;" between"</f>
        <v>+ 4 T8 between</v>
      </c>
      <c r="M36" s="484"/>
      <c r="N36" s="464" t="s">
        <v>379</v>
      </c>
    </row>
    <row r="37" spans="1:14" ht="15.75">
      <c r="A37" s="125"/>
      <c r="B37" s="453"/>
      <c r="C37" s="272" t="s">
        <v>112</v>
      </c>
      <c r="D37" s="343" t="s">
        <v>109</v>
      </c>
      <c r="E37" s="242"/>
      <c r="F37" s="346">
        <f>Bar!E143+Bar!E153</f>
        <v>829.3804605477054</v>
      </c>
      <c r="G37" s="239"/>
      <c r="H37" s="272" t="str">
        <f>H34&amp;" prov"</f>
        <v>As T prov</v>
      </c>
      <c r="I37" s="346">
        <f>Bar!G158</f>
        <v>452.3893421169302</v>
      </c>
      <c r="J37" s="239"/>
      <c r="K37" s="272" t="s">
        <v>112</v>
      </c>
      <c r="L37" s="346">
        <f>Bar!I143+Bar!I153</f>
        <v>829.3804605477054</v>
      </c>
      <c r="M37" s="345"/>
      <c r="N37" s="125"/>
    </row>
    <row r="38" spans="1:14" ht="15.75">
      <c r="A38" s="125"/>
      <c r="B38" s="453" t="s">
        <v>113</v>
      </c>
      <c r="C38" s="272"/>
      <c r="D38" s="343"/>
      <c r="E38" s="455" t="str">
        <f>FIXED(Bar!E157,0)&amp;$O$1</f>
        <v>3 T</v>
      </c>
      <c r="F38" s="486">
        <f>L17</f>
        <v>12</v>
      </c>
      <c r="G38" s="483" t="s">
        <v>375</v>
      </c>
      <c r="H38" s="455" t="str">
        <f>FIXED(Bar!G142,0)&amp;$O$1</f>
        <v>3 T</v>
      </c>
      <c r="I38" s="481">
        <v>20</v>
      </c>
      <c r="J38" s="483" t="s">
        <v>375</v>
      </c>
      <c r="K38" s="455" t="str">
        <f>FIXED(Bar!I157,0)&amp;$O$1</f>
        <v>3 T</v>
      </c>
      <c r="L38" s="481">
        <v>12</v>
      </c>
      <c r="M38" s="484" t="s">
        <v>375</v>
      </c>
      <c r="N38" s="403"/>
    </row>
    <row r="39" spans="1:14" ht="15.75">
      <c r="A39" s="125"/>
      <c r="B39" s="453"/>
      <c r="C39" s="272" t="s">
        <v>114</v>
      </c>
      <c r="D39" s="343" t="s">
        <v>109</v>
      </c>
      <c r="E39" s="238"/>
      <c r="F39" s="346">
        <f>Bar!E158</f>
        <v>339.29200658769764</v>
      </c>
      <c r="G39" s="239"/>
      <c r="H39" s="272" t="s">
        <v>112</v>
      </c>
      <c r="I39" s="346">
        <f>Bar!G143</f>
        <v>942.4777960769379</v>
      </c>
      <c r="J39" s="239"/>
      <c r="K39" s="272" t="s">
        <v>114</v>
      </c>
      <c r="L39" s="346">
        <f>Bar!I158</f>
        <v>339.29200658769764</v>
      </c>
      <c r="M39" s="345"/>
      <c r="N39" s="125"/>
    </row>
    <row r="40" spans="1:14" ht="15.75">
      <c r="A40" s="125"/>
      <c r="B40" s="453" t="s">
        <v>115</v>
      </c>
      <c r="C40" s="272" t="s">
        <v>116</v>
      </c>
      <c r="D40" s="343" t="s">
        <v>71</v>
      </c>
      <c r="E40" s="238"/>
      <c r="F40" s="306">
        <f>Bar!E172</f>
        <v>59.09004631333019</v>
      </c>
      <c r="G40" s="239"/>
      <c r="H40" s="238"/>
      <c r="I40" s="306"/>
      <c r="J40" s="239"/>
      <c r="K40" s="272" t="s">
        <v>116</v>
      </c>
      <c r="L40" s="306">
        <f>Bar!I172</f>
        <v>67.12416064141854</v>
      </c>
      <c r="M40" s="345"/>
      <c r="N40" s="125"/>
    </row>
    <row r="41" spans="1:14" ht="15.75">
      <c r="A41" s="125"/>
      <c r="B41" s="453"/>
      <c r="C41" s="272" t="s">
        <v>117</v>
      </c>
      <c r="D41" s="343" t="s">
        <v>11</v>
      </c>
      <c r="E41" s="238"/>
      <c r="F41" s="330">
        <f>Bar!E175</f>
        <v>0.9454793400861093</v>
      </c>
      <c r="G41" s="239"/>
      <c r="H41" s="238"/>
      <c r="I41" s="330"/>
      <c r="J41" s="239"/>
      <c r="K41" s="272" t="s">
        <v>117</v>
      </c>
      <c r="L41" s="330">
        <f>Bar!I175</f>
        <v>1.1261001580534988</v>
      </c>
      <c r="M41" s="345"/>
      <c r="N41" s="125"/>
    </row>
    <row r="42" spans="1:14" ht="15.75">
      <c r="A42" s="125"/>
      <c r="B42" s="453"/>
      <c r="C42" s="272" t="s">
        <v>118</v>
      </c>
      <c r="D42" s="343" t="s">
        <v>11</v>
      </c>
      <c r="E42" s="238"/>
      <c r="F42" s="330">
        <f>Bar!E176</f>
        <v>0.9345394807245901</v>
      </c>
      <c r="G42" s="239"/>
      <c r="H42" s="272" t="s">
        <v>119</v>
      </c>
      <c r="I42" s="270">
        <f>I21</f>
        <v>6</v>
      </c>
      <c r="J42" s="239"/>
      <c r="K42" s="272" t="s">
        <v>118</v>
      </c>
      <c r="L42" s="330">
        <f>Bar!I176</f>
        <v>0.9345394807245901</v>
      </c>
      <c r="M42" s="345"/>
      <c r="N42" s="403" t="str">
        <f>IF(AND(O$21=0,I42=0),"ADD LINK Ø",IF(AND(O$21=1,I42&gt;0),"NO LINKS - REMOVE Ø",""))</f>
        <v></v>
      </c>
    </row>
    <row r="43" spans="1:14" ht="15.75">
      <c r="A43" s="125"/>
      <c r="B43" s="453" t="s">
        <v>376</v>
      </c>
      <c r="C43" s="272"/>
      <c r="D43" s="343"/>
      <c r="E43" s="456" t="str">
        <f>IF(F41&gt;F42,"2"&amp;$O$2&amp;FIXED($I42,0)&amp;" @ "&amp;FIXED(Bar!E179,0)&amp;" for "&amp;FIXED(Bar!E180,0,1),".")</f>
        <v>2T6 @ 175 for 175</v>
      </c>
      <c r="F43" s="290"/>
      <c r="G43" s="243"/>
      <c r="H43" s="456" t="str">
        <f>"2"&amp;$O$2&amp;FIXED($I42,0)&amp;" @ "&amp;FIXED(Bar!G179,0)</f>
        <v>2T6 @ 1,200</v>
      </c>
      <c r="I43" s="290"/>
      <c r="J43" s="243"/>
      <c r="K43" s="456" t="str">
        <f>IF(L41&gt;L42,"2"&amp;$O$2&amp;FIXED($I42,0)&amp;" @ "&amp;FIXED(Bar!I179,0)&amp;" for "&amp;FIXED(Bar!I180,0,1),".")</f>
        <v>2T6 @ 140 for 560</v>
      </c>
      <c r="L43" s="290"/>
      <c r="M43" s="291"/>
      <c r="N43" s="464" t="s">
        <v>367</v>
      </c>
    </row>
    <row r="44" spans="1:14" ht="15.75">
      <c r="A44" s="125"/>
      <c r="B44" s="453" t="s">
        <v>120</v>
      </c>
      <c r="C44" s="272"/>
      <c r="D44" s="343"/>
      <c r="E44" s="244" t="s">
        <v>121</v>
      </c>
      <c r="F44" s="330">
        <f>MAX(Bar!E168,Bar!G168)</f>
        <v>29.288702928870293</v>
      </c>
      <c r="G44" s="239"/>
      <c r="H44" s="244" t="s">
        <v>122</v>
      </c>
      <c r="I44" s="330">
        <f>MAX(Bar!E167,Bar!G167)</f>
        <v>38.2875858856539</v>
      </c>
      <c r="J44" s="463" t="str">
        <f>IF(I44&gt;F44,"ok","FAILS")</f>
        <v>ok</v>
      </c>
      <c r="K44" s="684" t="str">
        <f>IF(MAX(Bar!E169,Bar!G169,Bar!I169)=0,"",P$1&amp;FIXED(MAX(Bar!E169,Bar!G169,Bar!I169)*100,1)&amp;"%)")</f>
        <v>(As increased by 11.8%)</v>
      </c>
      <c r="L44" s="330"/>
      <c r="M44" s="345"/>
      <c r="N44" s="125"/>
    </row>
    <row r="45" spans="1:14" ht="15.75">
      <c r="A45" s="125"/>
      <c r="B45" s="453" t="s">
        <v>123</v>
      </c>
      <c r="C45" s="348" t="s">
        <v>124</v>
      </c>
      <c r="D45" s="349"/>
      <c r="E45" s="238"/>
      <c r="F45" s="457" t="str">
        <f>IF(AND(Bar!D144="ok",Bar!D159="ok"),"ok","FAILS")</f>
        <v>ok</v>
      </c>
      <c r="G45" s="239"/>
      <c r="H45" s="238"/>
      <c r="I45" s="457" t="str">
        <f>IF(AND(Bar!F144="ok",Bar!F159="ok"),"ok","FAILS")</f>
        <v>ok</v>
      </c>
      <c r="J45" s="239"/>
      <c r="K45" s="238"/>
      <c r="L45" s="457" t="str">
        <f>IF(AND(Bar!H144="ok",Bar!H159="ok"),"ok","FAILS")</f>
        <v>ok</v>
      </c>
      <c r="M45" s="345"/>
      <c r="N45" s="125"/>
    </row>
    <row r="46" spans="1:14" ht="15.75">
      <c r="A46" s="125"/>
      <c r="B46" s="303"/>
      <c r="C46" s="348" t="s">
        <v>125</v>
      </c>
      <c r="D46" s="349"/>
      <c r="E46" s="238"/>
      <c r="F46" s="457" t="str">
        <f>IF(AND(Bar!D141="ok",Bar!D156="ok"),"ok","FAILS")</f>
        <v>ok</v>
      </c>
      <c r="G46" s="239"/>
      <c r="H46" s="238"/>
      <c r="I46" s="457" t="str">
        <f>IF(AND(Bar!F141="ok",Bar!F156="ok"),"ok","FAILS")</f>
        <v>ok</v>
      </c>
      <c r="J46" s="239"/>
      <c r="K46" s="238"/>
      <c r="L46" s="457" t="str">
        <f>IF(AND(Bar!H141="ok",Bar!H156="ok"),"ok","FAILS")</f>
        <v>ok</v>
      </c>
      <c r="M46" s="345"/>
      <c r="N46" s="125"/>
    </row>
    <row r="47" spans="1:14" ht="15.75">
      <c r="A47" s="125"/>
      <c r="B47" s="351"/>
      <c r="C47" s="348" t="s">
        <v>126</v>
      </c>
      <c r="D47" s="349"/>
      <c r="E47" s="238"/>
      <c r="F47" s="457" t="str">
        <f>IF(AND(AND(Bar!D146="ok",Bar!D147="ok"),Bar!D161="ok"),"ok","FAILS")</f>
        <v>ok</v>
      </c>
      <c r="G47" s="239"/>
      <c r="H47" s="238"/>
      <c r="I47" s="457" t="str">
        <f>IF(AND(AND(Bar!F146="ok",Bar!F147="ok"),Bar!F161="ok"),"ok","FAILS")</f>
        <v>FAILS</v>
      </c>
      <c r="J47" s="239"/>
      <c r="K47" s="238"/>
      <c r="L47" s="457" t="str">
        <f>IF(AND(AND(Bar!H146="ok",Bar!H147="ok"),Bar!H161="ok"),"ok","FAILS")</f>
        <v>ok</v>
      </c>
      <c r="M47" s="345"/>
      <c r="N47" s="125"/>
    </row>
    <row r="48" spans="1:14" ht="27" thickBot="1">
      <c r="A48" s="129"/>
      <c r="B48" s="352"/>
      <c r="C48" s="353" t="s">
        <v>127</v>
      </c>
      <c r="D48" s="354"/>
      <c r="E48" s="460"/>
      <c r="F48" s="458" t="str">
        <f>Bar!D182</f>
        <v>ok</v>
      </c>
      <c r="G48" s="461"/>
      <c r="H48" s="460"/>
      <c r="I48" s="458" t="str">
        <f>IF(AND(Bar!F181="ok",Bar!F182="ok"),"ok","FAILS")</f>
        <v>ok</v>
      </c>
      <c r="J48" s="461"/>
      <c r="K48" s="460"/>
      <c r="L48" s="458" t="str">
        <f>Bar!H182</f>
        <v>ok</v>
      </c>
      <c r="M48" s="462"/>
      <c r="N48" s="125"/>
    </row>
    <row r="49" spans="1:14" ht="17.25" thickBot="1" thickTop="1">
      <c r="A49" s="125"/>
      <c r="B49" s="125"/>
      <c r="C49" s="125"/>
      <c r="D49" s="125"/>
      <c r="E49" s="125"/>
      <c r="F49" s="125"/>
      <c r="G49" s="125"/>
      <c r="H49" s="125"/>
      <c r="I49" s="125"/>
      <c r="J49" s="125"/>
      <c r="K49" s="125"/>
      <c r="L49" s="125"/>
      <c r="M49" s="125"/>
      <c r="N49" s="125"/>
    </row>
    <row r="50" spans="1:14" ht="27.75" customHeight="1" thickBot="1" thickTop="1">
      <c r="A50" s="219"/>
      <c r="B50" s="130" t="s">
        <v>1</v>
      </c>
      <c r="C50" s="184" t="str">
        <f>C2</f>
        <v>Spreadsheets to BS 8110</v>
      </c>
      <c r="D50" s="131"/>
      <c r="E50" s="131"/>
      <c r="F50" s="131"/>
      <c r="G50" s="220"/>
      <c r="H50" s="220"/>
      <c r="I50" s="221"/>
      <c r="J50" s="534" t="str">
        <f>J2</f>
        <v>REINFORCED CONCRETE COUNCIL</v>
      </c>
      <c r="K50" s="222"/>
      <c r="L50" s="132"/>
      <c r="M50" s="223"/>
      <c r="N50" s="125"/>
    </row>
    <row r="51" spans="1:14" ht="16.5" thickTop="1">
      <c r="A51" s="125"/>
      <c r="B51" s="136" t="s">
        <v>2</v>
      </c>
      <c r="C51" s="186" t="str">
        <f>C3</f>
        <v>Advisory Group</v>
      </c>
      <c r="D51" s="137"/>
      <c r="E51" s="138"/>
      <c r="F51" s="139"/>
      <c r="G51" s="138"/>
      <c r="H51" s="138"/>
      <c r="I51" s="225"/>
      <c r="J51" s="140" t="s">
        <v>74</v>
      </c>
      <c r="L51" s="188" t="s">
        <v>75</v>
      </c>
      <c r="M51" s="189" t="s">
        <v>76</v>
      </c>
      <c r="N51" s="125"/>
    </row>
    <row r="52" spans="1:14" ht="18">
      <c r="A52" s="125"/>
      <c r="B52" s="136" t="s">
        <v>5</v>
      </c>
      <c r="C52" s="186" t="str">
        <f>C4</f>
        <v>3rd Floor slab,  from 1 to 5a</v>
      </c>
      <c r="D52" s="144"/>
      <c r="E52" s="145"/>
      <c r="F52" s="146"/>
      <c r="G52" s="138"/>
      <c r="H52" s="138"/>
      <c r="I52" s="225"/>
      <c r="J52" s="226" t="str">
        <f>J4</f>
        <v>rmw</v>
      </c>
      <c r="K52" s="169"/>
      <c r="L52" s="191">
        <f>L4</f>
        <v>39305</v>
      </c>
      <c r="M52" s="227" t="str">
        <f>IF(MAIN!$K$4=0,"",MAIN!O8&amp;"/"&amp;3+MAIN!K4)</f>
        <v>/46</v>
      </c>
      <c r="N52" s="125"/>
    </row>
    <row r="53" spans="1:14" ht="18">
      <c r="A53" s="125"/>
      <c r="B53" s="147"/>
      <c r="C53" s="148" t="str">
        <f>MAIN!C5</f>
        <v>RIBBED SLABS to BS 8110:1997 (Analysis &amp; Design)</v>
      </c>
      <c r="D53" s="149"/>
      <c r="E53" s="150"/>
      <c r="F53" s="146"/>
      <c r="G53" s="138"/>
      <c r="H53" s="138"/>
      <c r="I53" s="225"/>
      <c r="J53" s="140" t="s">
        <v>77</v>
      </c>
      <c r="K53" s="228"/>
      <c r="L53" s="151" t="s">
        <v>7</v>
      </c>
      <c r="M53" s="189" t="s">
        <v>78</v>
      </c>
      <c r="N53" s="125"/>
    </row>
    <row r="54" spans="1:14" ht="18.75" thickBot="1">
      <c r="A54" s="125"/>
      <c r="B54" s="152"/>
      <c r="C54" s="153" t="str">
        <f>C6</f>
        <v>Originated from  RCC32.xls v2.2 on CD               © 2000-2003 BCA for RCC</v>
      </c>
      <c r="D54" s="154"/>
      <c r="E54" s="155"/>
      <c r="F54" s="156"/>
      <c r="G54" s="229"/>
      <c r="H54" s="229"/>
      <c r="I54" s="230"/>
      <c r="J54" s="231" t="str">
        <f>J6</f>
        <v>chg</v>
      </c>
      <c r="K54" s="232"/>
      <c r="L54" s="233" t="str">
        <f>IF(L6=0,"",L6)</f>
        <v>-</v>
      </c>
      <c r="M54" s="234" t="str">
        <f>MAIN!$K$6</f>
        <v>R68</v>
      </c>
      <c r="N54" s="125"/>
    </row>
    <row r="55" spans="1:14" ht="27.75" thickBot="1" thickTop="1">
      <c r="A55" s="129"/>
      <c r="B55" s="235"/>
      <c r="C55" s="138"/>
      <c r="D55" s="138"/>
      <c r="E55" s="138"/>
      <c r="F55" s="138"/>
      <c r="G55" s="138"/>
      <c r="H55" s="138"/>
      <c r="I55" s="138"/>
      <c r="J55" s="138"/>
      <c r="K55" s="138"/>
      <c r="L55" s="138"/>
      <c r="M55" s="138"/>
      <c r="N55" s="125"/>
    </row>
    <row r="56" spans="1:14" ht="21" thickTop="1">
      <c r="A56" s="125"/>
      <c r="B56" s="448" t="s">
        <v>129</v>
      </c>
      <c r="C56" s="341"/>
      <c r="D56" s="341"/>
      <c r="E56" s="449"/>
      <c r="F56" s="450" t="s">
        <v>101</v>
      </c>
      <c r="G56" s="451"/>
      <c r="H56" s="449"/>
      <c r="I56" s="450" t="s">
        <v>102</v>
      </c>
      <c r="J56" s="451"/>
      <c r="K56" s="449"/>
      <c r="L56" s="450" t="s">
        <v>103</v>
      </c>
      <c r="M56" s="452"/>
      <c r="N56" s="459" t="str">
        <f>IF(MAIN!I$22&lt;4,"NO SPAN 3 - IGNORE","")</f>
        <v></v>
      </c>
    </row>
    <row r="57" spans="1:14" ht="15.75">
      <c r="A57" s="125"/>
      <c r="B57" s="453" t="s">
        <v>104</v>
      </c>
      <c r="C57" s="272" t="s">
        <v>105</v>
      </c>
      <c r="D57" s="343" t="s">
        <v>87</v>
      </c>
      <c r="E57" s="236"/>
      <c r="F57" s="201">
        <f>Bar!E205</f>
        <v>83.24680497335541</v>
      </c>
      <c r="G57" s="685" t="s">
        <v>424</v>
      </c>
      <c r="H57" s="236"/>
      <c r="I57" s="201">
        <f>Bar!G205</f>
        <v>71.03749415010869</v>
      </c>
      <c r="J57" s="237"/>
      <c r="K57" s="236"/>
      <c r="L57" s="201">
        <f>Bar!I205</f>
        <v>0</v>
      </c>
      <c r="M57" s="686"/>
      <c r="N57" s="125"/>
    </row>
    <row r="58" spans="1:14" ht="15.75">
      <c r="A58" s="125"/>
      <c r="B58" s="453"/>
      <c r="C58" s="272" t="s">
        <v>106</v>
      </c>
      <c r="D58" s="343"/>
      <c r="E58" s="238"/>
      <c r="F58" s="306">
        <f>Bar!E204</f>
        <v>0.85</v>
      </c>
      <c r="G58" s="239"/>
      <c r="H58" s="238"/>
      <c r="I58" s="306">
        <f>Bar!G204</f>
        <v>0.9429068635473665</v>
      </c>
      <c r="J58" s="239"/>
      <c r="K58" s="238"/>
      <c r="L58" s="306">
        <f>Bar!I204</f>
        <v>1</v>
      </c>
      <c r="M58" s="345"/>
      <c r="N58" s="125"/>
    </row>
    <row r="59" spans="1:15" ht="15.75">
      <c r="A59" s="125"/>
      <c r="B59" s="453" t="s">
        <v>107</v>
      </c>
      <c r="C59" s="272" t="s">
        <v>108</v>
      </c>
      <c r="D59" s="343" t="s">
        <v>13</v>
      </c>
      <c r="E59" s="238"/>
      <c r="F59" s="329">
        <f>Bar!E207</f>
        <v>239</v>
      </c>
      <c r="G59" s="239"/>
      <c r="H59" s="823" t="str">
        <f>FIXED(Bar!G207,1)&amp;" (x="&amp;FIXED(O59,1)&amp;IF(O59&gt;T$1,"&gt;","&lt;")&amp;"hf/0.9)"</f>
        <v>236.5 (x=26.3&lt;hf/0.9)</v>
      </c>
      <c r="I59" s="824"/>
      <c r="J59" s="825"/>
      <c r="K59" s="238"/>
      <c r="L59" s="329">
        <f>Bar!I207</f>
        <v>239</v>
      </c>
      <c r="M59" s="345"/>
      <c r="N59" s="125"/>
      <c r="O59" s="429">
        <f>Bar!G214</f>
        <v>26.277777777777814</v>
      </c>
    </row>
    <row r="60" spans="1:14" ht="15.75">
      <c r="A60" s="125"/>
      <c r="B60" s="453"/>
      <c r="C60" s="272" t="s">
        <v>97</v>
      </c>
      <c r="D60" s="343" t="s">
        <v>109</v>
      </c>
      <c r="E60" s="238"/>
      <c r="F60" s="346">
        <f>MAX(Bar!E220,Bar!E235)</f>
        <v>753.2168809764262</v>
      </c>
      <c r="G60" s="239"/>
      <c r="H60" s="238"/>
      <c r="I60" s="346" t="str">
        <f>FIXED(Bar!G220,0)&amp;IF(Bar!G238-1&gt;Bar!G220,"   ("&amp;FIXED(Bar!G238,0)&amp;" mm² for defln)","")</f>
        <v>650   (872 mm² for defln)</v>
      </c>
      <c r="J60" s="239"/>
      <c r="K60" s="238"/>
      <c r="L60" s="346">
        <f>MAX(Bar!I220,Bar!I235)</f>
        <v>0</v>
      </c>
      <c r="M60" s="345"/>
      <c r="N60" s="125"/>
    </row>
    <row r="61" spans="1:14" ht="15.75">
      <c r="A61" s="125"/>
      <c r="B61" s="453"/>
      <c r="C61" s="272" t="s">
        <v>110</v>
      </c>
      <c r="D61" s="343" t="s">
        <v>109</v>
      </c>
      <c r="E61" s="238"/>
      <c r="F61" s="346">
        <f>MAX(Bar!E218,Bar!E233)</f>
        <v>0</v>
      </c>
      <c r="G61" s="239"/>
      <c r="H61" s="272" t="str">
        <f>P$2&amp;IF(Bar!G235&gt;Bar!G218,P$3,P$4)</f>
        <v>As T</v>
      </c>
      <c r="I61" s="346">
        <f>MAX(Bar!G218,Bar!G235)</f>
        <v>262.96661207430867</v>
      </c>
      <c r="J61" s="239"/>
      <c r="K61" s="272" t="s">
        <v>110</v>
      </c>
      <c r="L61" s="346">
        <f>MAX(Bar!I218,Bar!I233)</f>
        <v>0</v>
      </c>
      <c r="M61" s="345"/>
      <c r="N61" s="502" t="s">
        <v>391</v>
      </c>
    </row>
    <row r="62" spans="1:14" ht="15.75">
      <c r="A62" s="125"/>
      <c r="B62" s="453" t="s">
        <v>111</v>
      </c>
      <c r="C62" s="272"/>
      <c r="D62" s="343"/>
      <c r="E62" s="455" t="str">
        <f>FIXED(Bar!E240,0)&amp;$O$1</f>
        <v>2 T</v>
      </c>
      <c r="F62" s="486">
        <f>L35</f>
        <v>20</v>
      </c>
      <c r="G62" s="483" t="s">
        <v>375</v>
      </c>
      <c r="H62" s="455" t="str">
        <f>FIXED(Bar!G255,0)&amp;$O$1</f>
        <v>3 T</v>
      </c>
      <c r="I62" s="481">
        <v>12</v>
      </c>
      <c r="J62" s="483" t="s">
        <v>375</v>
      </c>
      <c r="K62" s="455" t="str">
        <f>FIXED(Bar!I240,0)&amp;$O$1</f>
        <v>2 T</v>
      </c>
      <c r="L62" s="481">
        <v>20</v>
      </c>
      <c r="M62" s="484" t="s">
        <v>375</v>
      </c>
      <c r="N62" s="695" t="str">
        <f>IF(AND(I62&gt;0,I61+I69=0),"SPAN TOP STEEL NOT NEEDED","")</f>
        <v></v>
      </c>
    </row>
    <row r="63" spans="1:14" ht="15.75">
      <c r="A63" s="125"/>
      <c r="B63" s="453"/>
      <c r="C63" s="272"/>
      <c r="D63" s="343"/>
      <c r="E63" s="455"/>
      <c r="F63" s="487" t="str">
        <f>"+ "&amp;Bar!E250&amp;$O$1&amp;Bar!E249&amp;" between"</f>
        <v>+ 4 T8 between</v>
      </c>
      <c r="G63" s="483"/>
      <c r="H63" s="482"/>
      <c r="I63" s="481"/>
      <c r="J63" s="483"/>
      <c r="K63" s="482"/>
      <c r="L63" s="487" t="str">
        <f>"+ "&amp;Bar!I250&amp;$O$1&amp;Bar!I249&amp;" between"</f>
        <v>+ 4 T8 between</v>
      </c>
      <c r="M63" s="484"/>
      <c r="N63" s="464" t="s">
        <v>380</v>
      </c>
    </row>
    <row r="64" spans="1:14" ht="15.75">
      <c r="A64" s="125"/>
      <c r="B64" s="453"/>
      <c r="C64" s="272" t="s">
        <v>112</v>
      </c>
      <c r="D64" s="343" t="s">
        <v>109</v>
      </c>
      <c r="E64" s="242"/>
      <c r="F64" s="346">
        <f>Bar!E241+Bar!E251</f>
        <v>829.3804605477054</v>
      </c>
      <c r="G64" s="239"/>
      <c r="H64" s="272" t="str">
        <f>H61&amp;" prov"</f>
        <v>As T prov</v>
      </c>
      <c r="I64" s="346">
        <f>Bar!G256</f>
        <v>339.29200658769764</v>
      </c>
      <c r="J64" s="239"/>
      <c r="K64" s="272" t="s">
        <v>112</v>
      </c>
      <c r="L64" s="346">
        <f>Bar!I241+Bar!I251</f>
        <v>829.3804605477054</v>
      </c>
      <c r="M64" s="345"/>
      <c r="N64" s="125"/>
    </row>
    <row r="65" spans="1:14" ht="15.75">
      <c r="A65" s="125"/>
      <c r="B65" s="453" t="s">
        <v>113</v>
      </c>
      <c r="C65" s="272"/>
      <c r="D65" s="343"/>
      <c r="E65" s="455" t="str">
        <f>FIXED(Bar!E255,0)&amp;$O$1</f>
        <v>3 T</v>
      </c>
      <c r="F65" s="486">
        <f>L38</f>
        <v>12</v>
      </c>
      <c r="G65" s="483" t="s">
        <v>375</v>
      </c>
      <c r="H65" s="455" t="str">
        <f>FIXED(Bar!G240,0)&amp;$O$1</f>
        <v>2 T</v>
      </c>
      <c r="I65" s="481">
        <v>25</v>
      </c>
      <c r="J65" s="483" t="s">
        <v>375</v>
      </c>
      <c r="K65" s="455" t="str">
        <f>FIXED(Bar!I255,0)&amp;$O$1</f>
        <v>3 T</v>
      </c>
      <c r="L65" s="481">
        <v>16</v>
      </c>
      <c r="M65" s="484" t="s">
        <v>375</v>
      </c>
      <c r="N65" s="125"/>
    </row>
    <row r="66" spans="1:14" ht="15.75">
      <c r="A66" s="125"/>
      <c r="B66" s="453"/>
      <c r="C66" s="272" t="s">
        <v>114</v>
      </c>
      <c r="D66" s="343" t="s">
        <v>109</v>
      </c>
      <c r="E66" s="238"/>
      <c r="F66" s="346">
        <f>Bar!E256</f>
        <v>339.29200658769764</v>
      </c>
      <c r="G66" s="239"/>
      <c r="H66" s="272" t="s">
        <v>112</v>
      </c>
      <c r="I66" s="346">
        <f>Bar!G241</f>
        <v>981.7477042468104</v>
      </c>
      <c r="J66" s="239"/>
      <c r="K66" s="272" t="s">
        <v>114</v>
      </c>
      <c r="L66" s="346">
        <f>Bar!I256</f>
        <v>603.1857894892403</v>
      </c>
      <c r="M66" s="345"/>
      <c r="N66" s="125"/>
    </row>
    <row r="67" spans="1:14" ht="15.75">
      <c r="A67" s="125"/>
      <c r="B67" s="453" t="s">
        <v>115</v>
      </c>
      <c r="C67" s="272" t="s">
        <v>116</v>
      </c>
      <c r="D67" s="343" t="s">
        <v>71</v>
      </c>
      <c r="E67" s="238"/>
      <c r="F67" s="306">
        <f>Bar!E279</f>
        <v>68.29700496866961</v>
      </c>
      <c r="G67" s="239"/>
      <c r="H67" s="238"/>
      <c r="I67" s="306"/>
      <c r="J67" s="239"/>
      <c r="K67" s="272" t="s">
        <v>116</v>
      </c>
      <c r="L67" s="306">
        <f>Bar!I279</f>
        <v>46.55126016534448</v>
      </c>
      <c r="M67" s="345"/>
      <c r="N67" s="125"/>
    </row>
    <row r="68" spans="1:14" ht="15.75">
      <c r="A68" s="125"/>
      <c r="B68" s="453"/>
      <c r="C68" s="272" t="s">
        <v>117</v>
      </c>
      <c r="D68" s="343" t="s">
        <v>11</v>
      </c>
      <c r="E68" s="238"/>
      <c r="F68" s="330">
        <f>Bar!E282</f>
        <v>1.1524677317630088</v>
      </c>
      <c r="G68" s="239"/>
      <c r="H68" s="238"/>
      <c r="I68" s="330"/>
      <c r="J68" s="239"/>
      <c r="K68" s="272" t="s">
        <v>117</v>
      </c>
      <c r="L68" s="330">
        <f>Bar!I282</f>
        <v>0.8898845725050905</v>
      </c>
      <c r="M68" s="345"/>
      <c r="N68" s="125"/>
    </row>
    <row r="69" spans="1:14" ht="15.75">
      <c r="A69" s="125"/>
      <c r="B69" s="453"/>
      <c r="C69" s="272" t="s">
        <v>118</v>
      </c>
      <c r="D69" s="343" t="s">
        <v>11</v>
      </c>
      <c r="E69" s="238"/>
      <c r="F69" s="330">
        <f>Bar!E283</f>
        <v>0.9345394807245901</v>
      </c>
      <c r="G69" s="239"/>
      <c r="H69" s="272" t="s">
        <v>119</v>
      </c>
      <c r="I69" s="270">
        <f>I42</f>
        <v>6</v>
      </c>
      <c r="J69" s="239"/>
      <c r="K69" s="272" t="s">
        <v>118</v>
      </c>
      <c r="L69" s="330">
        <f>Bar!I283</f>
        <v>0.9345394807245901</v>
      </c>
      <c r="M69" s="345"/>
      <c r="N69" s="403" t="str">
        <f>IF(AND(O$21=0,I69=0),"ADD LINK Ø",IF(AND(O$21=1,I69&gt;0),"NO LINKS - REMOVE Ø",""))</f>
        <v></v>
      </c>
    </row>
    <row r="70" spans="1:14" ht="15.75">
      <c r="A70" s="125"/>
      <c r="B70" s="453" t="s">
        <v>376</v>
      </c>
      <c r="C70" s="272"/>
      <c r="D70" s="343"/>
      <c r="E70" s="456" t="str">
        <f>IF(F68&gt;F69,"2"&amp;$O$2&amp;FIXED($I69,0)&amp;" @ "&amp;FIXED(Bar!E286,0)&amp;" for "&amp;FIXED(Bar!E287,0,1),".")</f>
        <v>2T6 @ 175 for 700</v>
      </c>
      <c r="F70" s="290"/>
      <c r="G70" s="243"/>
      <c r="H70" s="456" t="str">
        <f>"2"&amp;$O$2&amp;FIXED($I69,0)&amp;" @ "&amp;FIXED(Bar!G286,0)</f>
        <v>2T6 @ 1,200</v>
      </c>
      <c r="I70" s="290"/>
      <c r="J70" s="243"/>
      <c r="K70" s="456" t="str">
        <f>IF(L68&gt;L69,"2"&amp;$O$2&amp;FIXED($I69,0)&amp;" @ "&amp;FIXED(Bar!I286,0)&amp;" for "&amp;FIXED(Bar!I287,0,1),".")</f>
        <v>.</v>
      </c>
      <c r="L70" s="290"/>
      <c r="M70" s="291"/>
      <c r="N70" s="464" t="s">
        <v>367</v>
      </c>
    </row>
    <row r="71" spans="1:14" ht="15.75">
      <c r="A71" s="125"/>
      <c r="B71" s="453" t="s">
        <v>120</v>
      </c>
      <c r="C71" s="272"/>
      <c r="D71" s="343"/>
      <c r="E71" s="244" t="s">
        <v>121</v>
      </c>
      <c r="F71" s="330">
        <f>MAX(Bar!E275,Bar!G275)</f>
        <v>31.712473572938688</v>
      </c>
      <c r="G71" s="239"/>
      <c r="H71" s="244" t="s">
        <v>122</v>
      </c>
      <c r="I71" s="330">
        <f>MAX(Bar!E274,Bar!G274)</f>
        <v>33.98502401422861</v>
      </c>
      <c r="J71" s="463" t="str">
        <f>IF(I71&gt;F71,"ok","FAILS")</f>
        <v>ok</v>
      </c>
      <c r="K71" s="681" t="str">
        <f>IF(MAX(Bar!E276,Bar!G276,Bar!I276)=0,"",P$1&amp;FIXED(MAX(Bar!E276,Bar!G276,Bar!I276)*100,1)&amp;"%)")</f>
        <v>(As increased by 34.2%)</v>
      </c>
      <c r="L71" s="330"/>
      <c r="M71" s="345"/>
      <c r="N71" s="125"/>
    </row>
    <row r="72" spans="1:14" ht="15.75">
      <c r="A72" s="125"/>
      <c r="B72" s="453" t="s">
        <v>123</v>
      </c>
      <c r="C72" s="348" t="s">
        <v>124</v>
      </c>
      <c r="D72" s="349"/>
      <c r="E72" s="238"/>
      <c r="F72" s="457" t="str">
        <f>IF(AND(Bar!D242="ok",Bar!D257="ok"),"ok","FAILS")</f>
        <v>ok</v>
      </c>
      <c r="G72" s="239"/>
      <c r="H72" s="238"/>
      <c r="I72" s="457" t="str">
        <f>IF(AND(Bar!F242="ok",Bar!F257="ok"),"ok","FAILS")</f>
        <v>ok</v>
      </c>
      <c r="J72" s="239"/>
      <c r="K72" s="238"/>
      <c r="L72" s="457" t="str">
        <f>IF(AND(Bar!H242="ok",Bar!H257="ok"),"ok","FAILS")</f>
        <v>ok</v>
      </c>
      <c r="M72" s="345"/>
      <c r="N72" s="125"/>
    </row>
    <row r="73" spans="1:14" ht="15.75">
      <c r="A73" s="125"/>
      <c r="B73" s="303"/>
      <c r="C73" s="348" t="s">
        <v>125</v>
      </c>
      <c r="D73" s="349"/>
      <c r="E73" s="238"/>
      <c r="F73" s="457" t="str">
        <f>IF(AND(Bar!D239="ok",Bar!D254="ok"),"ok","FAILS")</f>
        <v>ok</v>
      </c>
      <c r="G73" s="239"/>
      <c r="H73" s="238"/>
      <c r="I73" s="457" t="str">
        <f>IF(AND(Bar!F239="ok",Bar!F254="ok"),"ok","FAILS")</f>
        <v>ok</v>
      </c>
      <c r="J73" s="239"/>
      <c r="K73" s="238"/>
      <c r="L73" s="457" t="str">
        <f>IF(AND(Bar!H239="ok",Bar!H254="ok"),"ok","FAILS")</f>
        <v>ok</v>
      </c>
      <c r="M73" s="345"/>
      <c r="N73" s="125"/>
    </row>
    <row r="74" spans="1:14" ht="15.75">
      <c r="A74" s="125"/>
      <c r="B74" s="351"/>
      <c r="C74" s="348" t="s">
        <v>126</v>
      </c>
      <c r="D74" s="349"/>
      <c r="E74" s="238"/>
      <c r="F74" s="457" t="str">
        <f>IF(AND(AND(Bar!D244="ok",Bar!D245="ok"),Bar!D259="ok"),"ok","FAILS")</f>
        <v>ok</v>
      </c>
      <c r="G74" s="239"/>
      <c r="H74" s="238"/>
      <c r="I74" s="457" t="str">
        <f>IF(AND(AND(Bar!F244="ok",Bar!F245="ok"),Bar!F259="ok"),"ok","FAILS")</f>
        <v>ok</v>
      </c>
      <c r="J74" s="239"/>
      <c r="K74" s="238"/>
      <c r="L74" s="457" t="str">
        <f>IF(AND(AND(Bar!H244="ok",Bar!H245="ok"),Bar!H259="ok"),"ok","FAILS")</f>
        <v>ok</v>
      </c>
      <c r="M74" s="345"/>
      <c r="N74" s="125"/>
    </row>
    <row r="75" spans="1:14" ht="27" thickBot="1">
      <c r="A75" s="129"/>
      <c r="B75" s="352"/>
      <c r="C75" s="353" t="s">
        <v>127</v>
      </c>
      <c r="D75" s="354"/>
      <c r="E75" s="460"/>
      <c r="F75" s="458" t="str">
        <f>Bar!D289</f>
        <v>ok</v>
      </c>
      <c r="G75" s="461"/>
      <c r="H75" s="460"/>
      <c r="I75" s="458" t="str">
        <f>IF(AND(Bar!F288="ok",Bar!F289="ok"),"ok","FAILS")</f>
        <v>ok</v>
      </c>
      <c r="J75" s="461"/>
      <c r="K75" s="460"/>
      <c r="L75" s="458" t="str">
        <f>Bar!H289</f>
        <v>ok</v>
      </c>
      <c r="M75" s="462"/>
      <c r="N75" s="125"/>
    </row>
    <row r="76" spans="1:14" ht="27.75" thickBot="1" thickTop="1">
      <c r="A76" s="129"/>
      <c r="B76" s="235"/>
      <c r="C76" s="138"/>
      <c r="D76" s="138"/>
      <c r="E76" s="138"/>
      <c r="F76" s="138"/>
      <c r="G76" s="138"/>
      <c r="H76" s="138"/>
      <c r="I76" s="138"/>
      <c r="J76" s="138"/>
      <c r="K76" s="138"/>
      <c r="L76" s="138"/>
      <c r="M76" s="138"/>
      <c r="N76" s="125"/>
    </row>
    <row r="77" spans="1:14" ht="21" thickTop="1">
      <c r="A77" s="125"/>
      <c r="B77" s="448" t="s">
        <v>130</v>
      </c>
      <c r="C77" s="341"/>
      <c r="D77" s="341"/>
      <c r="E77" s="449"/>
      <c r="F77" s="450" t="s">
        <v>101</v>
      </c>
      <c r="G77" s="451"/>
      <c r="H77" s="449"/>
      <c r="I77" s="450" t="s">
        <v>102</v>
      </c>
      <c r="J77" s="451"/>
      <c r="K77" s="449"/>
      <c r="L77" s="450" t="s">
        <v>103</v>
      </c>
      <c r="M77" s="452"/>
      <c r="N77" s="459" t="str">
        <f>IF(MAIN!I$22&lt;5,"NO SPAN 4 - IGNORE","")</f>
        <v>NO SPAN 4 - IGNORE</v>
      </c>
    </row>
    <row r="78" spans="1:14" ht="15.75">
      <c r="A78" s="125"/>
      <c r="B78" s="453" t="s">
        <v>104</v>
      </c>
      <c r="C78" s="272" t="s">
        <v>105</v>
      </c>
      <c r="D78" s="343" t="s">
        <v>87</v>
      </c>
      <c r="E78" s="236"/>
      <c r="F78" s="201">
        <f>Bar!E298</f>
        <v>0</v>
      </c>
      <c r="G78" s="687"/>
      <c r="H78" s="236"/>
      <c r="I78" s="201" t="str">
        <f>Bar!G298</f>
        <v>~</v>
      </c>
      <c r="J78" s="237"/>
      <c r="K78" s="236"/>
      <c r="L78" s="201" t="str">
        <f>Bar!I298</f>
        <v>~</v>
      </c>
      <c r="M78" s="686"/>
      <c r="N78" s="125"/>
    </row>
    <row r="79" spans="1:14" ht="15.75">
      <c r="A79" s="125"/>
      <c r="B79" s="453"/>
      <c r="C79" s="272" t="s">
        <v>106</v>
      </c>
      <c r="D79" s="343"/>
      <c r="E79" s="238"/>
      <c r="F79" s="306">
        <f>Bar!E297</f>
        <v>1</v>
      </c>
      <c r="G79" s="239"/>
      <c r="H79" s="238"/>
      <c r="I79" s="306" t="e">
        <f>Bar!G297</f>
        <v>#VALUE!</v>
      </c>
      <c r="J79" s="239"/>
      <c r="K79" s="238"/>
      <c r="L79" s="306" t="str">
        <f>Bar!I297</f>
        <v>~</v>
      </c>
      <c r="M79" s="345"/>
      <c r="N79" s="125"/>
    </row>
    <row r="80" spans="1:15" ht="15.75">
      <c r="A80" s="125"/>
      <c r="B80" s="453" t="s">
        <v>107</v>
      </c>
      <c r="C80" s="272" t="s">
        <v>108</v>
      </c>
      <c r="D80" s="343" t="s">
        <v>13</v>
      </c>
      <c r="E80" s="238"/>
      <c r="F80" s="329">
        <f>Bar!E300</f>
        <v>-36</v>
      </c>
      <c r="G80" s="239"/>
      <c r="H80" s="823" t="e">
        <f>FIXED(Bar!G300,1)&amp;" (x="&amp;FIXED(O80,1)&amp;IF(O80&gt;T$1,"&gt;","&lt;")&amp;"hf/0.9)"</f>
        <v>#VALUE!</v>
      </c>
      <c r="I80" s="824"/>
      <c r="J80" s="825"/>
      <c r="K80" s="238"/>
      <c r="L80" s="329">
        <f>Bar!I300</f>
        <v>-36</v>
      </c>
      <c r="M80" s="345"/>
      <c r="N80" s="125"/>
      <c r="O80" s="429" t="e">
        <f>Bar!G307</f>
        <v>#VALUE!</v>
      </c>
    </row>
    <row r="81" spans="1:14" ht="15.75">
      <c r="A81" s="125"/>
      <c r="B81" s="453"/>
      <c r="C81" s="272" t="s">
        <v>97</v>
      </c>
      <c r="D81" s="343" t="s">
        <v>109</v>
      </c>
      <c r="E81" s="238"/>
      <c r="F81" s="346">
        <f>MAX(Bar!E313,Bar!E328)</f>
        <v>0</v>
      </c>
      <c r="G81" s="239"/>
      <c r="H81" s="238"/>
      <c r="I81" s="346" t="e">
        <f>FIXED(Bar!G313,0)&amp;IF(Bar!G339-1&gt;Bar!G313,"   ("&amp;FIXED(Bar!G339,0)&amp;" mm² for defln)","")</f>
        <v>#VALUE!</v>
      </c>
      <c r="J81" s="239"/>
      <c r="K81" s="238"/>
      <c r="L81" s="346" t="e">
        <f>MAX(Bar!I313,Bar!I328)</f>
        <v>#VALUE!</v>
      </c>
      <c r="M81" s="345"/>
      <c r="N81" s="125"/>
    </row>
    <row r="82" spans="1:14" ht="15.75">
      <c r="A82" s="125"/>
      <c r="B82" s="453"/>
      <c r="C82" s="272" t="s">
        <v>110</v>
      </c>
      <c r="D82" s="343" t="s">
        <v>109</v>
      </c>
      <c r="E82" s="238"/>
      <c r="F82" s="346">
        <f>MAX(Bar!E311,Bar!E326)</f>
        <v>0</v>
      </c>
      <c r="G82" s="239"/>
      <c r="H82" s="272" t="e">
        <f>P$2&amp;IF(Bar!G328&gt;Bar!G311,P$3,P$4)</f>
        <v>#VALUE!</v>
      </c>
      <c r="I82" s="346" t="e">
        <f>MAX(Bar!G311,Bar!G328)</f>
        <v>#VALUE!</v>
      </c>
      <c r="J82" s="239"/>
      <c r="K82" s="272" t="s">
        <v>110</v>
      </c>
      <c r="L82" s="346" t="e">
        <f>MAX(Bar!I311,Bar!I326)</f>
        <v>#VALUE!</v>
      </c>
      <c r="M82" s="345"/>
      <c r="N82" s="502" t="s">
        <v>391</v>
      </c>
    </row>
    <row r="83" spans="1:14" ht="15.75">
      <c r="A83" s="125"/>
      <c r="B83" s="453" t="s">
        <v>111</v>
      </c>
      <c r="C83" s="272"/>
      <c r="D83" s="343"/>
      <c r="E83" s="455" t="str">
        <f>FIXED(Bar!E342,0)&amp;$O$1</f>
        <v>2 T</v>
      </c>
      <c r="F83" s="486">
        <f>L62</f>
        <v>20</v>
      </c>
      <c r="G83" s="483" t="s">
        <v>375</v>
      </c>
      <c r="H83" s="455" t="e">
        <f>FIXED(Bar!G357,0)&amp;$O$1</f>
        <v>#VALUE!</v>
      </c>
      <c r="I83" s="481">
        <v>16</v>
      </c>
      <c r="J83" s="483" t="s">
        <v>375</v>
      </c>
      <c r="K83" s="455" t="str">
        <f>FIXED(Bar!I342,0)&amp;$O$1</f>
        <v>2 T</v>
      </c>
      <c r="L83" s="481">
        <v>20</v>
      </c>
      <c r="M83" s="484" t="s">
        <v>375</v>
      </c>
      <c r="N83" s="695" t="e">
        <f>IF(AND(I83&gt;0,I82+I90=0),"SPAN TOP STEEL NOT NEEDED","")</f>
        <v>#VALUE!</v>
      </c>
    </row>
    <row r="84" spans="1:14" ht="15.75">
      <c r="A84" s="125"/>
      <c r="B84" s="453"/>
      <c r="C84" s="272"/>
      <c r="D84" s="343"/>
      <c r="E84" s="455"/>
      <c r="F84" s="487" t="str">
        <f>"+ "&amp;Bar!E352&amp;$O$1&amp;Bar!E351&amp;" between"</f>
        <v>+ 4 T8 between</v>
      </c>
      <c r="G84" s="483"/>
      <c r="H84" s="482"/>
      <c r="I84" s="481"/>
      <c r="J84" s="483"/>
      <c r="K84" s="482"/>
      <c r="L84" s="487" t="e">
        <f>"+ "&amp;Bar!I352&amp;$O$1&amp;Bar!I351&amp;" between"</f>
        <v>#VALUE!</v>
      </c>
      <c r="M84" s="484"/>
      <c r="N84" s="464" t="s">
        <v>381</v>
      </c>
    </row>
    <row r="85" spans="1:14" ht="15.75">
      <c r="A85" s="125"/>
      <c r="B85" s="453"/>
      <c r="C85" s="272" t="s">
        <v>112</v>
      </c>
      <c r="D85" s="343" t="s">
        <v>109</v>
      </c>
      <c r="E85" s="242"/>
      <c r="F85" s="346">
        <f>Bar!E343+Bar!E353</f>
        <v>628.3185307179587</v>
      </c>
      <c r="G85" s="239"/>
      <c r="H85" s="272" t="e">
        <f>H82&amp;" prov"</f>
        <v>#VALUE!</v>
      </c>
      <c r="I85" s="346" t="e">
        <f>Bar!G358</f>
        <v>#VALUE!</v>
      </c>
      <c r="J85" s="239"/>
      <c r="K85" s="272" t="s">
        <v>112</v>
      </c>
      <c r="L85" s="346" t="e">
        <f>Bar!I343+Bar!I353</f>
        <v>#VALUE!</v>
      </c>
      <c r="M85" s="345"/>
      <c r="N85" s="125"/>
    </row>
    <row r="86" spans="1:14" ht="15.75">
      <c r="A86" s="125"/>
      <c r="B86" s="453" t="s">
        <v>113</v>
      </c>
      <c r="C86" s="272"/>
      <c r="D86" s="343"/>
      <c r="E86" s="455" t="e">
        <f>FIXED(Bar!E357,0)&amp;$O$1</f>
        <v>#VALUE!</v>
      </c>
      <c r="F86" s="486">
        <f>L65</f>
        <v>16</v>
      </c>
      <c r="G86" s="483" t="s">
        <v>375</v>
      </c>
      <c r="H86" s="455" t="e">
        <f>FIXED(Bar!G342,0)&amp;$O$1</f>
        <v>#VALUE!</v>
      </c>
      <c r="I86" s="481">
        <v>20</v>
      </c>
      <c r="J86" s="483" t="s">
        <v>375</v>
      </c>
      <c r="K86" s="455" t="e">
        <f>FIXED(Bar!I357,0)&amp;$O$1</f>
        <v>#VALUE!</v>
      </c>
      <c r="L86" s="481">
        <v>16</v>
      </c>
      <c r="M86" s="484" t="s">
        <v>375</v>
      </c>
      <c r="N86" s="125"/>
    </row>
    <row r="87" spans="1:14" ht="15.75">
      <c r="A87" s="125"/>
      <c r="B87" s="453"/>
      <c r="C87" s="272" t="s">
        <v>114</v>
      </c>
      <c r="D87" s="343" t="s">
        <v>109</v>
      </c>
      <c r="E87" s="238"/>
      <c r="F87" s="346" t="e">
        <f>Bar!E358</f>
        <v>#VALUE!</v>
      </c>
      <c r="G87" s="239"/>
      <c r="H87" s="272" t="s">
        <v>112</v>
      </c>
      <c r="I87" s="346" t="e">
        <f>Bar!G343</f>
        <v>#VALUE!</v>
      </c>
      <c r="J87" s="239"/>
      <c r="K87" s="272" t="s">
        <v>114</v>
      </c>
      <c r="L87" s="346" t="e">
        <f>Bar!I358</f>
        <v>#VALUE!</v>
      </c>
      <c r="M87" s="345"/>
      <c r="N87" s="125"/>
    </row>
    <row r="88" spans="1:14" ht="15.75">
      <c r="A88" s="125"/>
      <c r="B88" s="453" t="s">
        <v>115</v>
      </c>
      <c r="C88" s="272" t="s">
        <v>116</v>
      </c>
      <c r="D88" s="343" t="s">
        <v>71</v>
      </c>
      <c r="E88" s="238"/>
      <c r="F88" s="306">
        <f>Bar!E372</f>
        <v>0</v>
      </c>
      <c r="G88" s="239"/>
      <c r="H88" s="238"/>
      <c r="I88" s="306"/>
      <c r="J88" s="239"/>
      <c r="K88" s="272" t="s">
        <v>116</v>
      </c>
      <c r="L88" s="306">
        <f>Bar!I372</f>
        <v>0</v>
      </c>
      <c r="M88" s="345"/>
      <c r="N88" s="125"/>
    </row>
    <row r="89" spans="1:14" ht="15.75">
      <c r="A89" s="125"/>
      <c r="B89" s="453"/>
      <c r="C89" s="272" t="s">
        <v>117</v>
      </c>
      <c r="D89" s="343" t="s">
        <v>11</v>
      </c>
      <c r="E89" s="238"/>
      <c r="F89" s="330">
        <f>Bar!E375</f>
        <v>0</v>
      </c>
      <c r="G89" s="239"/>
      <c r="H89" s="238"/>
      <c r="I89" s="330"/>
      <c r="J89" s="239"/>
      <c r="K89" s="272" t="s">
        <v>117</v>
      </c>
      <c r="L89" s="330">
        <f>Bar!I375</f>
        <v>0</v>
      </c>
      <c r="M89" s="345"/>
      <c r="N89" s="125"/>
    </row>
    <row r="90" spans="1:14" ht="15.75">
      <c r="A90" s="125"/>
      <c r="B90" s="453"/>
      <c r="C90" s="272" t="s">
        <v>118</v>
      </c>
      <c r="D90" s="343" t="s">
        <v>11</v>
      </c>
      <c r="E90" s="238"/>
      <c r="F90" s="330" t="e">
        <f>Bar!E376</f>
        <v>#VALUE!</v>
      </c>
      <c r="G90" s="239"/>
      <c r="H90" s="272" t="s">
        <v>119</v>
      </c>
      <c r="I90" s="270">
        <f>I69</f>
        <v>6</v>
      </c>
      <c r="J90" s="239"/>
      <c r="K90" s="272" t="s">
        <v>118</v>
      </c>
      <c r="L90" s="330" t="e">
        <f>Bar!I376</f>
        <v>#VALUE!</v>
      </c>
      <c r="M90" s="345"/>
      <c r="N90" s="403" t="str">
        <f>IF(AND(O$21=0,I90=0),"ADD LINK Ø",IF(AND(O$21=1,I90&gt;0),"NO LINKS - REMOVE Ø",""))</f>
        <v></v>
      </c>
    </row>
    <row r="91" spans="1:14" ht="15.75">
      <c r="A91" s="125"/>
      <c r="B91" s="453" t="s">
        <v>376</v>
      </c>
      <c r="C91" s="272"/>
      <c r="D91" s="343"/>
      <c r="E91" s="456" t="e">
        <f>IF(F89&gt;F90,"2"&amp;$O$2&amp;FIXED($I90,0)&amp;" @ "&amp;FIXED(Bar!E379,0)&amp;" for "&amp;FIXED(Bar!E380,0,1),".")</f>
        <v>#VALUE!</v>
      </c>
      <c r="F91" s="290"/>
      <c r="G91" s="243"/>
      <c r="H91" s="456" t="str">
        <f>"2"&amp;$O$2&amp;FIXED($I90,0)&amp;" @ "&amp;FIXED(Bar!G379,0)</f>
        <v>2T6 @ 1,200</v>
      </c>
      <c r="I91" s="290"/>
      <c r="J91" s="243"/>
      <c r="K91" s="456" t="e">
        <f>IF(L89&gt;L90,"2"&amp;$O$2&amp;FIXED($I90,0)&amp;" @ "&amp;FIXED(Bar!I379,0)&amp;" for "&amp;FIXED(Bar!I380,0,1),".")</f>
        <v>#VALUE!</v>
      </c>
      <c r="L91" s="290"/>
      <c r="M91" s="291"/>
      <c r="N91" s="464" t="s">
        <v>367</v>
      </c>
    </row>
    <row r="92" spans="1:14" ht="15.75">
      <c r="A92" s="125"/>
      <c r="B92" s="453" t="s">
        <v>120</v>
      </c>
      <c r="C92" s="272"/>
      <c r="D92" s="343"/>
      <c r="E92" s="244" t="s">
        <v>121</v>
      </c>
      <c r="F92" s="330">
        <f>MAX(Bar!E368,Bar!G368)</f>
        <v>0</v>
      </c>
      <c r="G92" s="239"/>
      <c r="H92" s="244" t="s">
        <v>122</v>
      </c>
      <c r="I92" s="330" t="e">
        <f>MAX(Bar!E367,Bar!G367)</f>
        <v>#VALUE!</v>
      </c>
      <c r="J92" s="463" t="e">
        <f>IF(I92&gt;F92,"ok","FAILS")</f>
        <v>#VALUE!</v>
      </c>
      <c r="K92" s="681" t="e">
        <f>IF(MAX(Bar!E369,Bar!G369,Bar!I369)=0,"",P$1&amp;FIXED(MAX(Bar!E369,Bar!G369,Bar!I369)*100,1)&amp;"%)")</f>
        <v>#VALUE!</v>
      </c>
      <c r="L92" s="330"/>
      <c r="M92" s="345"/>
      <c r="N92" s="125"/>
    </row>
    <row r="93" spans="1:14" ht="15.75">
      <c r="A93" s="125"/>
      <c r="B93" s="453" t="s">
        <v>123</v>
      </c>
      <c r="C93" s="348" t="s">
        <v>124</v>
      </c>
      <c r="D93" s="349"/>
      <c r="E93" s="238"/>
      <c r="F93" s="457" t="e">
        <f>IF(AND(Bar!D344="ok",Bar!D359="ok"),"ok","FAILS")</f>
        <v>#VALUE!</v>
      </c>
      <c r="G93" s="239"/>
      <c r="H93" s="238"/>
      <c r="I93" s="457" t="e">
        <f>IF(AND(Bar!F344="ok",Bar!F359="ok"),"ok","FAILS")</f>
        <v>#VALUE!</v>
      </c>
      <c r="J93" s="239"/>
      <c r="K93" s="238"/>
      <c r="L93" s="457" t="e">
        <f>IF(AND(Bar!H344="ok",Bar!H359="ok"),"ok","FAILS")</f>
        <v>#VALUE!</v>
      </c>
      <c r="M93" s="345"/>
      <c r="N93" s="125"/>
    </row>
    <row r="94" spans="1:14" ht="15.75">
      <c r="A94" s="125"/>
      <c r="B94" s="303"/>
      <c r="C94" s="348" t="s">
        <v>125</v>
      </c>
      <c r="D94" s="349"/>
      <c r="E94" s="238"/>
      <c r="F94" s="457" t="str">
        <f>IF(AND(Bar!D341="ok",Bar!D356="ok"),"ok","FAILS")</f>
        <v>ok</v>
      </c>
      <c r="G94" s="239"/>
      <c r="H94" s="238"/>
      <c r="I94" s="457" t="str">
        <f>IF(AND(Bar!F341="ok",Bar!F356="ok"),"ok","FAILS")</f>
        <v>ok</v>
      </c>
      <c r="J94" s="239"/>
      <c r="K94" s="238"/>
      <c r="L94" s="457" t="str">
        <f>IF(AND(Bar!H341="ok",Bar!H356="ok"),"ok","FAILS")</f>
        <v>ok</v>
      </c>
      <c r="M94" s="345"/>
      <c r="N94" s="125"/>
    </row>
    <row r="95" spans="1:14" ht="15.75">
      <c r="A95" s="125"/>
      <c r="B95" s="351"/>
      <c r="C95" s="348" t="s">
        <v>126</v>
      </c>
      <c r="D95" s="349"/>
      <c r="E95" s="238"/>
      <c r="F95" s="457" t="e">
        <f>IF(AND(AND(Bar!D346="ok",Bar!D347="ok"),Bar!D361="ok"),"ok","FAILS")</f>
        <v>#VALUE!</v>
      </c>
      <c r="G95" s="239"/>
      <c r="H95" s="238"/>
      <c r="I95" s="457" t="e">
        <f>IF(AND(AND(Bar!F346="ok",Bar!F347="ok"),Bar!F361="ok"),"ok","FAILS")</f>
        <v>#VALUE!</v>
      </c>
      <c r="J95" s="239"/>
      <c r="K95" s="238"/>
      <c r="L95" s="457" t="e">
        <f>IF(AND(AND(Bar!H346="ok",Bar!H347="ok"),Bar!H361="ok"),"ok","FAILS")</f>
        <v>#VALUE!</v>
      </c>
      <c r="M95" s="345"/>
      <c r="N95" s="125"/>
    </row>
    <row r="96" spans="1:14" ht="27" thickBot="1">
      <c r="A96" s="129"/>
      <c r="B96" s="352"/>
      <c r="C96" s="353" t="s">
        <v>127</v>
      </c>
      <c r="D96" s="354"/>
      <c r="E96" s="460"/>
      <c r="F96" s="458" t="e">
        <f>Bar!D382</f>
        <v>#VALUE!</v>
      </c>
      <c r="G96" s="461"/>
      <c r="H96" s="460"/>
      <c r="I96" s="458" t="e">
        <f>IF(AND(Bar!F381="ok",Bar!F382="ok"),"ok","FAILS")</f>
        <v>#VALUE!</v>
      </c>
      <c r="J96" s="461"/>
      <c r="K96" s="460"/>
      <c r="L96" s="458" t="e">
        <f>Bar!H382</f>
        <v>#VALUE!</v>
      </c>
      <c r="M96" s="462"/>
      <c r="N96" s="125"/>
    </row>
    <row r="97" spans="1:14" ht="17.25" thickBot="1" thickTop="1">
      <c r="A97" s="125"/>
      <c r="B97" s="125"/>
      <c r="C97" s="125"/>
      <c r="D97" s="125"/>
      <c r="E97" s="125"/>
      <c r="F97" s="125"/>
      <c r="G97" s="125"/>
      <c r="H97" s="125"/>
      <c r="I97" s="125"/>
      <c r="J97" s="125"/>
      <c r="K97" s="125"/>
      <c r="L97" s="125"/>
      <c r="M97" s="125"/>
      <c r="N97" s="125"/>
    </row>
    <row r="98" spans="1:14" ht="27.75" customHeight="1" thickBot="1" thickTop="1">
      <c r="A98" s="219"/>
      <c r="B98" s="130" t="s">
        <v>1</v>
      </c>
      <c r="C98" s="184" t="str">
        <f>C50</f>
        <v>Spreadsheets to BS 8110</v>
      </c>
      <c r="D98" s="131"/>
      <c r="E98" s="131"/>
      <c r="F98" s="131"/>
      <c r="G98" s="220"/>
      <c r="H98" s="220"/>
      <c r="I98" s="221"/>
      <c r="J98" s="505" t="str">
        <f>J2</f>
        <v>REINFORCED CONCRETE COUNCIL</v>
      </c>
      <c r="K98" s="222"/>
      <c r="L98" s="132"/>
      <c r="M98" s="223"/>
      <c r="N98" s="125"/>
    </row>
    <row r="99" spans="1:14" ht="16.5" thickTop="1">
      <c r="A99" s="125"/>
      <c r="B99" s="136" t="s">
        <v>2</v>
      </c>
      <c r="C99" s="186" t="str">
        <f>C51</f>
        <v>Advisory Group</v>
      </c>
      <c r="D99" s="137"/>
      <c r="E99" s="138"/>
      <c r="F99" s="139"/>
      <c r="G99" s="138"/>
      <c r="H99" s="138"/>
      <c r="I99" s="225"/>
      <c r="J99" s="140" t="s">
        <v>74</v>
      </c>
      <c r="L99" s="188" t="s">
        <v>75</v>
      </c>
      <c r="M99" s="189" t="s">
        <v>76</v>
      </c>
      <c r="N99" s="125"/>
    </row>
    <row r="100" spans="1:14" ht="18">
      <c r="A100" s="125"/>
      <c r="B100" s="136" t="s">
        <v>5</v>
      </c>
      <c r="C100" s="186" t="str">
        <f>C52</f>
        <v>3rd Floor slab,  from 1 to 5a</v>
      </c>
      <c r="D100" s="144"/>
      <c r="E100" s="145"/>
      <c r="F100" s="146"/>
      <c r="G100" s="138"/>
      <c r="H100" s="138"/>
      <c r="I100" s="225"/>
      <c r="J100" s="226" t="str">
        <f>J52</f>
        <v>rmw</v>
      </c>
      <c r="K100" s="169"/>
      <c r="L100" s="191">
        <f>L52</f>
        <v>39305</v>
      </c>
      <c r="M100" s="227" t="str">
        <f>IF(MAIN!$K$4=0,"",MAIN!O8&amp;"/"&amp;4+MAIN!K4)</f>
        <v>/47</v>
      </c>
      <c r="N100" s="125"/>
    </row>
    <row r="101" spans="1:14" ht="18">
      <c r="A101" s="125"/>
      <c r="B101" s="147"/>
      <c r="C101" s="148" t="str">
        <f>MAIN!C5</f>
        <v>RIBBED SLABS to BS 8110:1997 (Analysis &amp; Design)</v>
      </c>
      <c r="D101" s="149"/>
      <c r="E101" s="150"/>
      <c r="F101" s="146"/>
      <c r="G101" s="138"/>
      <c r="H101" s="138"/>
      <c r="I101" s="225"/>
      <c r="J101" s="140" t="s">
        <v>77</v>
      </c>
      <c r="K101" s="228"/>
      <c r="L101" s="151" t="s">
        <v>7</v>
      </c>
      <c r="M101" s="189" t="s">
        <v>78</v>
      </c>
      <c r="N101" s="125"/>
    </row>
    <row r="102" spans="1:14" ht="18.75" thickBot="1">
      <c r="A102" s="125"/>
      <c r="B102" s="152"/>
      <c r="C102" s="153" t="str">
        <f>C54</f>
        <v>Originated from  RCC32.xls v2.2 on CD               © 2000-2003 BCA for RCC</v>
      </c>
      <c r="D102" s="154"/>
      <c r="E102" s="155"/>
      <c r="F102" s="156"/>
      <c r="G102" s="229"/>
      <c r="H102" s="229"/>
      <c r="I102" s="230"/>
      <c r="J102" s="231" t="str">
        <f>J54</f>
        <v>chg</v>
      </c>
      <c r="K102" s="232"/>
      <c r="L102" s="233" t="str">
        <f>IF(L54=0,"",L54)</f>
        <v>-</v>
      </c>
      <c r="M102" s="234" t="str">
        <f>MAIN!$K$6</f>
        <v>R68</v>
      </c>
      <c r="N102" s="125"/>
    </row>
    <row r="103" spans="1:14" ht="27.75" thickBot="1" thickTop="1">
      <c r="A103" s="129"/>
      <c r="B103" s="235"/>
      <c r="C103" s="138"/>
      <c r="D103" s="138"/>
      <c r="E103" s="138"/>
      <c r="F103" s="138"/>
      <c r="G103" s="138"/>
      <c r="H103" s="138"/>
      <c r="I103" s="138"/>
      <c r="J103" s="138"/>
      <c r="K103" s="138"/>
      <c r="L103" s="138"/>
      <c r="M103" s="138"/>
      <c r="N103" s="125"/>
    </row>
    <row r="104" spans="1:14" ht="21" thickTop="1">
      <c r="A104" s="125"/>
      <c r="B104" s="448" t="s">
        <v>131</v>
      </c>
      <c r="C104" s="341"/>
      <c r="D104" s="341"/>
      <c r="E104" s="449"/>
      <c r="F104" s="450" t="s">
        <v>101</v>
      </c>
      <c r="G104" s="451"/>
      <c r="H104" s="449"/>
      <c r="I104" s="450" t="s">
        <v>102</v>
      </c>
      <c r="J104" s="451"/>
      <c r="K104" s="449"/>
      <c r="L104" s="450" t="s">
        <v>103</v>
      </c>
      <c r="M104" s="452"/>
      <c r="N104" s="459" t="str">
        <f>IF(MAIN!I$22&lt;6,"NO SPAN 5 - IGNORE","")</f>
        <v>NO SPAN 5 - IGNORE</v>
      </c>
    </row>
    <row r="105" spans="1:14" ht="15.75">
      <c r="A105" s="125"/>
      <c r="B105" s="453" t="s">
        <v>104</v>
      </c>
      <c r="C105" s="272" t="s">
        <v>105</v>
      </c>
      <c r="D105" s="343" t="s">
        <v>87</v>
      </c>
      <c r="E105" s="236"/>
      <c r="F105" s="201" t="str">
        <f>Bar!E405</f>
        <v>~</v>
      </c>
      <c r="G105" s="237"/>
      <c r="H105" s="236"/>
      <c r="I105" s="201" t="str">
        <f>Bar!G405</f>
        <v>~</v>
      </c>
      <c r="J105" s="237"/>
      <c r="K105" s="236"/>
      <c r="L105" s="201" t="str">
        <f>Bar!I405</f>
        <v>~</v>
      </c>
      <c r="M105" s="344"/>
      <c r="N105" s="125"/>
    </row>
    <row r="106" spans="1:14" ht="15.75">
      <c r="A106" s="125"/>
      <c r="B106" s="453"/>
      <c r="C106" s="272" t="s">
        <v>106</v>
      </c>
      <c r="D106" s="343"/>
      <c r="E106" s="238"/>
      <c r="F106" s="306" t="str">
        <f>Bar!E404</f>
        <v>~</v>
      </c>
      <c r="G106" s="239"/>
      <c r="H106" s="238"/>
      <c r="I106" s="306" t="e">
        <f>Bar!G404</f>
        <v>#VALUE!</v>
      </c>
      <c r="J106" s="239"/>
      <c r="K106" s="238"/>
      <c r="L106" s="306" t="str">
        <f>Bar!I404</f>
        <v>~</v>
      </c>
      <c r="M106" s="345"/>
      <c r="N106" s="125"/>
    </row>
    <row r="107" spans="1:15" ht="15.75">
      <c r="A107" s="125"/>
      <c r="B107" s="453" t="s">
        <v>107</v>
      </c>
      <c r="C107" s="272" t="s">
        <v>108</v>
      </c>
      <c r="D107" s="343" t="s">
        <v>13</v>
      </c>
      <c r="E107" s="238"/>
      <c r="F107" s="329">
        <f>Bar!E407</f>
        <v>-36</v>
      </c>
      <c r="G107" s="239"/>
      <c r="H107" s="823" t="e">
        <f>FIXED(Bar!G407,1)&amp;" (x="&amp;FIXED(O107,1)&amp;IF(O107&gt;T$1,"&gt;","&lt;")&amp;"hf/0.9)"</f>
        <v>#VALUE!</v>
      </c>
      <c r="I107" s="824"/>
      <c r="J107" s="825"/>
      <c r="K107" s="238"/>
      <c r="L107" s="329">
        <f>Bar!I407</f>
        <v>-34</v>
      </c>
      <c r="M107" s="345"/>
      <c r="N107" s="125"/>
      <c r="O107" s="429" t="e">
        <f>Bar!G414</f>
        <v>#VALUE!</v>
      </c>
    </row>
    <row r="108" spans="1:14" ht="15.75">
      <c r="A108" s="125"/>
      <c r="B108" s="453"/>
      <c r="C108" s="272" t="s">
        <v>97</v>
      </c>
      <c r="D108" s="343" t="s">
        <v>109</v>
      </c>
      <c r="E108" s="238"/>
      <c r="F108" s="346" t="e">
        <f>MAX(Bar!E420,Bar!E435)</f>
        <v>#VALUE!</v>
      </c>
      <c r="G108" s="239"/>
      <c r="H108" s="238"/>
      <c r="I108" s="346" t="e">
        <f>FIXED(Bar!G420,0)&amp;IF(Bar!G438-1&gt;Bar!G420,"   ("&amp;FIXED(Bar!G438,0)&amp;" mm² for defln)","")</f>
        <v>#VALUE!</v>
      </c>
      <c r="J108" s="239"/>
      <c r="K108" s="238"/>
      <c r="L108" s="346" t="e">
        <f>MAX(Bar!I420,Bar!I435)</f>
        <v>#VALUE!</v>
      </c>
      <c r="M108" s="345"/>
      <c r="N108" s="125"/>
    </row>
    <row r="109" spans="1:14" ht="15.75">
      <c r="A109" s="125"/>
      <c r="B109" s="453"/>
      <c r="C109" s="272" t="s">
        <v>110</v>
      </c>
      <c r="D109" s="343" t="s">
        <v>109</v>
      </c>
      <c r="E109" s="238"/>
      <c r="F109" s="346" t="e">
        <f>MAX(Bar!E418,Bar!E433)</f>
        <v>#VALUE!</v>
      </c>
      <c r="G109" s="239"/>
      <c r="H109" s="272" t="e">
        <f>P$2&amp;IF(Bar!G435&gt;Bar!G418,P$3,P$4)</f>
        <v>#VALUE!</v>
      </c>
      <c r="I109" s="346" t="e">
        <f>MAX(Bar!G418,Bar!G435)</f>
        <v>#VALUE!</v>
      </c>
      <c r="J109" s="239"/>
      <c r="K109" s="272" t="s">
        <v>110</v>
      </c>
      <c r="L109" s="346" t="e">
        <f>MAX(Bar!I418,Bar!I433)</f>
        <v>#VALUE!</v>
      </c>
      <c r="M109" s="345"/>
      <c r="N109" s="502" t="s">
        <v>391</v>
      </c>
    </row>
    <row r="110" spans="1:14" ht="15.75">
      <c r="A110" s="125"/>
      <c r="B110" s="453" t="s">
        <v>111</v>
      </c>
      <c r="C110" s="272"/>
      <c r="D110" s="343"/>
      <c r="E110" s="455" t="str">
        <f>FIXED(Bar!E440,0)&amp;$O$1</f>
        <v>2 T</v>
      </c>
      <c r="F110" s="486">
        <f>L83</f>
        <v>20</v>
      </c>
      <c r="G110" s="483" t="s">
        <v>375</v>
      </c>
      <c r="H110" s="455" t="e">
        <f>FIXED(Bar!G455,0)&amp;$O$1</f>
        <v>#VALUE!</v>
      </c>
      <c r="I110" s="481">
        <v>12</v>
      </c>
      <c r="J110" s="483" t="s">
        <v>375</v>
      </c>
      <c r="K110" s="455" t="str">
        <f>FIXED(Bar!I440,0)&amp;$O$1</f>
        <v>2 T</v>
      </c>
      <c r="L110" s="481">
        <v>16</v>
      </c>
      <c r="M110" s="484" t="s">
        <v>375</v>
      </c>
      <c r="N110" s="695" t="e">
        <f>IF(AND(I110&gt;0,I109+I117=0),"SPAN TOP STEEL NOT NEEDED","")</f>
        <v>#VALUE!</v>
      </c>
    </row>
    <row r="111" spans="1:14" ht="15.75">
      <c r="A111" s="125"/>
      <c r="B111" s="453"/>
      <c r="C111" s="272"/>
      <c r="D111" s="343"/>
      <c r="E111" s="455"/>
      <c r="F111" s="487" t="e">
        <f>"+ "&amp;Bar!E450&amp;$O$1&amp;Bar!E449&amp;" between"</f>
        <v>#VALUE!</v>
      </c>
      <c r="G111" s="483"/>
      <c r="H111" s="482"/>
      <c r="I111" s="481"/>
      <c r="J111" s="483"/>
      <c r="K111" s="482"/>
      <c r="L111" s="487" t="e">
        <f>"+ "&amp;Bar!I450&amp;$O$1&amp;Bar!I449&amp;" between"</f>
        <v>#VALUE!</v>
      </c>
      <c r="M111" s="484"/>
      <c r="N111" s="464" t="s">
        <v>382</v>
      </c>
    </row>
    <row r="112" spans="1:14" ht="15.75">
      <c r="A112" s="125"/>
      <c r="B112" s="453"/>
      <c r="C112" s="272" t="s">
        <v>112</v>
      </c>
      <c r="D112" s="343" t="s">
        <v>109</v>
      </c>
      <c r="E112" s="242"/>
      <c r="F112" s="346">
        <f>Bar!E441+Bar!E451</f>
        <v>628.3185307179587</v>
      </c>
      <c r="G112" s="239"/>
      <c r="H112" s="272" t="e">
        <f>H109&amp;" prov"</f>
        <v>#VALUE!</v>
      </c>
      <c r="I112" s="346" t="e">
        <f>Bar!G456</f>
        <v>#VALUE!</v>
      </c>
      <c r="J112" s="239"/>
      <c r="K112" s="272" t="s">
        <v>112</v>
      </c>
      <c r="L112" s="346" t="e">
        <f>Bar!I441+Bar!I451</f>
        <v>#VALUE!</v>
      </c>
      <c r="M112" s="345"/>
      <c r="N112" s="125"/>
    </row>
    <row r="113" spans="1:14" ht="15.75">
      <c r="A113" s="125"/>
      <c r="B113" s="453" t="s">
        <v>113</v>
      </c>
      <c r="C113" s="272"/>
      <c r="D113" s="343"/>
      <c r="E113" s="455" t="e">
        <f>FIXED(Bar!E455,0)&amp;$O$1</f>
        <v>#VALUE!</v>
      </c>
      <c r="F113" s="486">
        <f>L86</f>
        <v>16</v>
      </c>
      <c r="G113" s="483" t="s">
        <v>375</v>
      </c>
      <c r="H113" s="455" t="e">
        <f>FIXED(Bar!G440,0)&amp;$O$1</f>
        <v>#VALUE!</v>
      </c>
      <c r="I113" s="481">
        <v>25</v>
      </c>
      <c r="J113" s="483" t="s">
        <v>375</v>
      </c>
      <c r="K113" s="455" t="e">
        <f>FIXED(Bar!I455,0)&amp;$O$1</f>
        <v>#VALUE!</v>
      </c>
      <c r="L113" s="481">
        <v>20</v>
      </c>
      <c r="M113" s="484" t="s">
        <v>375</v>
      </c>
      <c r="N113" s="125"/>
    </row>
    <row r="114" spans="1:14" ht="15.75">
      <c r="A114" s="125"/>
      <c r="B114" s="453"/>
      <c r="C114" s="272" t="s">
        <v>114</v>
      </c>
      <c r="D114" s="343" t="s">
        <v>109</v>
      </c>
      <c r="E114" s="238"/>
      <c r="F114" s="346" t="e">
        <f>Bar!E456</f>
        <v>#VALUE!</v>
      </c>
      <c r="G114" s="239"/>
      <c r="H114" s="272" t="s">
        <v>112</v>
      </c>
      <c r="I114" s="346" t="e">
        <f>Bar!G441</f>
        <v>#VALUE!</v>
      </c>
      <c r="J114" s="239"/>
      <c r="K114" s="272" t="s">
        <v>114</v>
      </c>
      <c r="L114" s="346" t="e">
        <f>Bar!I456</f>
        <v>#VALUE!</v>
      </c>
      <c r="M114" s="345"/>
      <c r="N114" s="125"/>
    </row>
    <row r="115" spans="1:14" ht="15.75">
      <c r="A115" s="125"/>
      <c r="B115" s="453" t="s">
        <v>115</v>
      </c>
      <c r="C115" s="272" t="s">
        <v>116</v>
      </c>
      <c r="D115" s="343" t="s">
        <v>71</v>
      </c>
      <c r="E115" s="238"/>
      <c r="F115" s="306">
        <f>Bar!E479</f>
        <v>0</v>
      </c>
      <c r="G115" s="239"/>
      <c r="H115" s="238"/>
      <c r="I115" s="306"/>
      <c r="J115" s="239"/>
      <c r="K115" s="272" t="s">
        <v>116</v>
      </c>
      <c r="L115" s="306">
        <f>Bar!I479</f>
        <v>0</v>
      </c>
      <c r="M115" s="345"/>
      <c r="N115" s="125"/>
    </row>
    <row r="116" spans="1:14" ht="15.75">
      <c r="A116" s="125"/>
      <c r="B116" s="453"/>
      <c r="C116" s="272" t="s">
        <v>117</v>
      </c>
      <c r="D116" s="343" t="s">
        <v>11</v>
      </c>
      <c r="E116" s="238"/>
      <c r="F116" s="330">
        <f>Bar!E482</f>
        <v>0</v>
      </c>
      <c r="G116" s="239"/>
      <c r="H116" s="238"/>
      <c r="I116" s="330"/>
      <c r="J116" s="239"/>
      <c r="K116" s="272" t="s">
        <v>117</v>
      </c>
      <c r="L116" s="330">
        <f>Bar!I482</f>
        <v>0</v>
      </c>
      <c r="M116" s="345"/>
      <c r="N116" s="125"/>
    </row>
    <row r="117" spans="1:14" ht="15.75">
      <c r="A117" s="125"/>
      <c r="B117" s="453"/>
      <c r="C117" s="272" t="s">
        <v>118</v>
      </c>
      <c r="D117" s="343" t="s">
        <v>11</v>
      </c>
      <c r="E117" s="238"/>
      <c r="F117" s="330" t="e">
        <f>Bar!E483</f>
        <v>#VALUE!</v>
      </c>
      <c r="G117" s="239"/>
      <c r="H117" s="272" t="s">
        <v>119</v>
      </c>
      <c r="I117" s="270">
        <f>I90</f>
        <v>6</v>
      </c>
      <c r="J117" s="239"/>
      <c r="K117" s="272" t="s">
        <v>118</v>
      </c>
      <c r="L117" s="330" t="e">
        <f>Bar!I483</f>
        <v>#VALUE!</v>
      </c>
      <c r="M117" s="345"/>
      <c r="N117" s="403" t="str">
        <f>IF(AND(O$21=0,I117=0),"ADD LINK Ø",IF(AND(O$21=1,I117&gt;0),"NO LINKS - REMOVE Ø",""))</f>
        <v></v>
      </c>
    </row>
    <row r="118" spans="1:14" ht="15.75">
      <c r="A118" s="125"/>
      <c r="B118" s="453" t="s">
        <v>376</v>
      </c>
      <c r="C118" s="272"/>
      <c r="D118" s="343"/>
      <c r="E118" s="456" t="e">
        <f>IF(F116&gt;F117,"2"&amp;$O$2&amp;FIXED($I117,0)&amp;" @ "&amp;FIXED(Bar!E486,0)&amp;" for "&amp;FIXED(Bar!E487,0,1),".")</f>
        <v>#VALUE!</v>
      </c>
      <c r="F118" s="290"/>
      <c r="G118" s="243"/>
      <c r="H118" s="456" t="str">
        <f>"2"&amp;$O$2&amp;FIXED($I117,0)&amp;" @ "&amp;FIXED(Bar!G486,0)</f>
        <v>2T6 @ 1,200</v>
      </c>
      <c r="I118" s="290"/>
      <c r="J118" s="243"/>
      <c r="K118" s="456" t="e">
        <f>IF(L116&gt;L117,"2"&amp;$O$2&amp;FIXED($I117,0)&amp;" @ "&amp;FIXED(Bar!I486,0)&amp;" for "&amp;FIXED(Bar!I487,0,1),".")</f>
        <v>#VALUE!</v>
      </c>
      <c r="L118" s="290"/>
      <c r="M118" s="291"/>
      <c r="N118" s="464" t="s">
        <v>367</v>
      </c>
    </row>
    <row r="119" spans="1:14" ht="15.75">
      <c r="A119" s="125"/>
      <c r="B119" s="453" t="s">
        <v>120</v>
      </c>
      <c r="C119" s="272"/>
      <c r="D119" s="343"/>
      <c r="E119" s="244" t="s">
        <v>121</v>
      </c>
      <c r="F119" s="330">
        <f>MAX(Bar!E475,Bar!G475)</f>
        <v>0</v>
      </c>
      <c r="G119" s="239"/>
      <c r="H119" s="244" t="s">
        <v>122</v>
      </c>
      <c r="I119" s="330" t="e">
        <f>MAX(Bar!E474,Bar!G474)</f>
        <v>#VALUE!</v>
      </c>
      <c r="J119" s="463" t="e">
        <f>IF(I119&gt;F119,"ok","FAILS")</f>
        <v>#VALUE!</v>
      </c>
      <c r="K119" s="681" t="e">
        <f>IF(MAX(Bar!E476,Bar!G476,Bar!I476)=0,"",P$1&amp;FIXED(MAX(Bar!E476,Bar!G476,Bar!I476)*100,1)&amp;"%)")</f>
        <v>#VALUE!</v>
      </c>
      <c r="L119" s="330"/>
      <c r="M119" s="345"/>
      <c r="N119" s="125"/>
    </row>
    <row r="120" spans="1:14" ht="15.75">
      <c r="A120" s="125"/>
      <c r="B120" s="453" t="s">
        <v>123</v>
      </c>
      <c r="C120" s="348" t="s">
        <v>124</v>
      </c>
      <c r="D120" s="349"/>
      <c r="E120" s="238"/>
      <c r="F120" s="457" t="e">
        <f>IF(AND(Bar!D442="ok",Bar!D457="ok"),"ok","FAILS")</f>
        <v>#VALUE!</v>
      </c>
      <c r="G120" s="239"/>
      <c r="H120" s="238"/>
      <c r="I120" s="457" t="e">
        <f>IF(AND(Bar!F442="ok",Bar!F457="ok"),"ok","FAILS")</f>
        <v>#VALUE!</v>
      </c>
      <c r="J120" s="239"/>
      <c r="K120" s="238"/>
      <c r="L120" s="457" t="e">
        <f>IF(AND(Bar!H442="ok",Bar!H457="ok"),"ok","FAILS")</f>
        <v>#VALUE!</v>
      </c>
      <c r="M120" s="345"/>
      <c r="N120" s="125"/>
    </row>
    <row r="121" spans="1:14" ht="15.75">
      <c r="A121" s="125"/>
      <c r="B121" s="303"/>
      <c r="C121" s="348" t="s">
        <v>125</v>
      </c>
      <c r="D121" s="349"/>
      <c r="E121" s="238"/>
      <c r="F121" s="457" t="str">
        <f>IF(AND(Bar!D439="ok",Bar!D454="ok"),"ok","FAILS")</f>
        <v>ok</v>
      </c>
      <c r="G121" s="239"/>
      <c r="H121" s="238"/>
      <c r="I121" s="457" t="str">
        <f>IF(AND(Bar!F439="ok",Bar!F454="ok"),"ok","FAILS")</f>
        <v>ok</v>
      </c>
      <c r="J121" s="239"/>
      <c r="K121" s="238"/>
      <c r="L121" s="457" t="str">
        <f>IF(AND(Bar!H439="ok",Bar!H454="ok"),"ok","FAILS")</f>
        <v>ok</v>
      </c>
      <c r="M121" s="345"/>
      <c r="N121" s="125"/>
    </row>
    <row r="122" spans="1:14" ht="15.75">
      <c r="A122" s="125"/>
      <c r="B122" s="351"/>
      <c r="C122" s="348" t="s">
        <v>126</v>
      </c>
      <c r="D122" s="349"/>
      <c r="E122" s="238"/>
      <c r="F122" s="457" t="e">
        <f>IF(AND(AND(Bar!D444="ok",Bar!D445="ok"),Bar!D459="ok"),"ok","FAILS")</f>
        <v>#VALUE!</v>
      </c>
      <c r="G122" s="239"/>
      <c r="H122" s="238"/>
      <c r="I122" s="457" t="e">
        <f>IF(AND(AND(Bar!F444="ok",Bar!F445="ok"),Bar!F459="ok"),"ok","FAILS")</f>
        <v>#VALUE!</v>
      </c>
      <c r="J122" s="239"/>
      <c r="K122" s="238"/>
      <c r="L122" s="457" t="e">
        <f>IF(AND(AND(Bar!H444="ok",Bar!H445="ok"),Bar!H459="ok"),"ok","FAILS")</f>
        <v>#VALUE!</v>
      </c>
      <c r="M122" s="345"/>
      <c r="N122" s="125"/>
    </row>
    <row r="123" spans="1:14" ht="27" thickBot="1">
      <c r="A123" s="129"/>
      <c r="B123" s="352"/>
      <c r="C123" s="353" t="s">
        <v>127</v>
      </c>
      <c r="D123" s="354"/>
      <c r="E123" s="460"/>
      <c r="F123" s="458" t="e">
        <f>Bar!D489</f>
        <v>#VALUE!</v>
      </c>
      <c r="G123" s="461"/>
      <c r="H123" s="460"/>
      <c r="I123" s="458" t="e">
        <f>IF(AND(Bar!F488="ok",Bar!F489="ok"),"ok","FAILS")</f>
        <v>#VALUE!</v>
      </c>
      <c r="J123" s="461"/>
      <c r="K123" s="460"/>
      <c r="L123" s="458" t="e">
        <f>Bar!H489</f>
        <v>#VALUE!</v>
      </c>
      <c r="M123" s="462"/>
      <c r="N123" s="125"/>
    </row>
    <row r="124" spans="1:14" ht="27.75" thickBot="1" thickTop="1">
      <c r="A124" s="129"/>
      <c r="B124" s="235"/>
      <c r="C124" s="138"/>
      <c r="D124" s="138"/>
      <c r="E124" s="138"/>
      <c r="F124" s="138"/>
      <c r="G124" s="138"/>
      <c r="H124" s="138"/>
      <c r="I124" s="138"/>
      <c r="J124" s="138"/>
      <c r="K124" s="138"/>
      <c r="L124" s="138"/>
      <c r="M124" s="138"/>
      <c r="N124" s="125"/>
    </row>
    <row r="125" spans="1:14" ht="21" thickTop="1">
      <c r="A125" s="125"/>
      <c r="B125" s="448" t="s">
        <v>132</v>
      </c>
      <c r="C125" s="341"/>
      <c r="D125" s="341"/>
      <c r="E125" s="449"/>
      <c r="F125" s="450" t="s">
        <v>101</v>
      </c>
      <c r="G125" s="451"/>
      <c r="H125" s="449"/>
      <c r="I125" s="450" t="s">
        <v>102</v>
      </c>
      <c r="J125" s="451"/>
      <c r="K125" s="449"/>
      <c r="L125" s="450" t="s">
        <v>103</v>
      </c>
      <c r="M125" s="452"/>
      <c r="N125" s="459" t="str">
        <f>IF(MAIN!I$22&lt;7,"NO SPAN 6 - IGNORE","")</f>
        <v>NO SPAN 6 - IGNORE</v>
      </c>
    </row>
    <row r="126" spans="1:14" ht="15.75">
      <c r="A126" s="125"/>
      <c r="B126" s="453" t="s">
        <v>104</v>
      </c>
      <c r="C126" s="272" t="s">
        <v>105</v>
      </c>
      <c r="D126" s="343" t="s">
        <v>87</v>
      </c>
      <c r="E126" s="236"/>
      <c r="F126" s="201" t="str">
        <f>Bar!E498</f>
        <v>~</v>
      </c>
      <c r="G126" s="237"/>
      <c r="H126" s="236"/>
      <c r="I126" s="201" t="str">
        <f>Bar!G498</f>
        <v>~</v>
      </c>
      <c r="J126" s="237"/>
      <c r="K126" s="236"/>
      <c r="L126" s="201" t="str">
        <f>Bar!I498</f>
        <v>kNm/m</v>
      </c>
      <c r="M126" s="344"/>
      <c r="N126" s="125"/>
    </row>
    <row r="127" spans="1:14" ht="15.75">
      <c r="A127" s="125"/>
      <c r="B127" s="453"/>
      <c r="C127" s="272" t="s">
        <v>106</v>
      </c>
      <c r="D127" s="343"/>
      <c r="E127" s="238"/>
      <c r="F127" s="306" t="str">
        <f>Bar!E497</f>
        <v>~</v>
      </c>
      <c r="G127" s="239"/>
      <c r="H127" s="238"/>
      <c r="I127" s="306" t="e">
        <f>Bar!G497</f>
        <v>#VALUE!</v>
      </c>
      <c r="J127" s="239"/>
      <c r="K127" s="238"/>
      <c r="L127" s="306" t="str">
        <f>Bar!I497</f>
        <v>~</v>
      </c>
      <c r="M127" s="345"/>
      <c r="N127" s="125"/>
    </row>
    <row r="128" spans="1:15" ht="15.75">
      <c r="A128" s="125"/>
      <c r="B128" s="453" t="s">
        <v>107</v>
      </c>
      <c r="C128" s="272" t="s">
        <v>108</v>
      </c>
      <c r="D128" s="343" t="s">
        <v>13</v>
      </c>
      <c r="E128" s="238"/>
      <c r="F128" s="329">
        <f>Bar!E500</f>
        <v>-34</v>
      </c>
      <c r="G128" s="239"/>
      <c r="H128" s="823" t="e">
        <f>FIXED(Bar!G500,1)&amp;" (x="&amp;FIXED(O128,1)&amp;IF(O128&gt;T$1,"&gt;","&lt;")&amp;"hf/0.9)"</f>
        <v>#VALUE!</v>
      </c>
      <c r="I128" s="824"/>
      <c r="J128" s="825"/>
      <c r="K128" s="238"/>
      <c r="L128" s="329">
        <f>Bar!I500</f>
        <v>-32</v>
      </c>
      <c r="M128" s="345"/>
      <c r="N128" s="125"/>
      <c r="O128" s="429" t="e">
        <f>Bar!G507</f>
        <v>#VALUE!</v>
      </c>
    </row>
    <row r="129" spans="1:14" ht="15.75">
      <c r="A129" s="125"/>
      <c r="B129" s="453"/>
      <c r="C129" s="272" t="s">
        <v>97</v>
      </c>
      <c r="D129" s="343" t="s">
        <v>109</v>
      </c>
      <c r="E129" s="238"/>
      <c r="F129" s="346" t="e">
        <f>MAX(Bar!E513,Bar!E528)</f>
        <v>#VALUE!</v>
      </c>
      <c r="G129" s="239"/>
      <c r="H129" s="238"/>
      <c r="I129" s="346" t="e">
        <f>FIXED(Bar!G513,0)&amp;IF(Bar!G459-1&gt;Bar!G539,"   ("&amp;FIXED(Bar!G539,0)&amp;" mm² for defln)","")</f>
        <v>#VALUE!</v>
      </c>
      <c r="J129" s="239"/>
      <c r="K129" s="238"/>
      <c r="L129" s="346" t="e">
        <f>MAX(Bar!I513,Bar!I528)</f>
        <v>#VALUE!</v>
      </c>
      <c r="M129" s="345"/>
      <c r="N129" s="125"/>
    </row>
    <row r="130" spans="1:14" ht="15.75">
      <c r="A130" s="125"/>
      <c r="B130" s="453"/>
      <c r="C130" s="272" t="s">
        <v>110</v>
      </c>
      <c r="D130" s="343" t="s">
        <v>109</v>
      </c>
      <c r="E130" s="238"/>
      <c r="F130" s="346" t="e">
        <f>MAX(Bar!E511,Bar!E526)</f>
        <v>#VALUE!</v>
      </c>
      <c r="G130" s="239"/>
      <c r="H130" s="272" t="e">
        <f>P$2&amp;IF(Bar!G528&gt;Bar!G511,P$3,P$4)</f>
        <v>#VALUE!</v>
      </c>
      <c r="I130" s="346" t="e">
        <f>MAX(Bar!G511,Bar!G528)</f>
        <v>#VALUE!</v>
      </c>
      <c r="J130" s="239"/>
      <c r="K130" s="272" t="s">
        <v>110</v>
      </c>
      <c r="L130" s="346" t="e">
        <f>MAX(Bar!I511,Bar!I526)</f>
        <v>#VALUE!</v>
      </c>
      <c r="M130" s="345"/>
      <c r="N130" s="502" t="s">
        <v>391</v>
      </c>
    </row>
    <row r="131" spans="1:14" ht="15.75">
      <c r="A131" s="125"/>
      <c r="B131" s="453" t="s">
        <v>111</v>
      </c>
      <c r="C131" s="272"/>
      <c r="D131" s="343"/>
      <c r="E131" s="455" t="str">
        <f>FIXED(Bar!E541,0)&amp;$O$1</f>
        <v>2 T</v>
      </c>
      <c r="F131" s="486">
        <f>L110</f>
        <v>16</v>
      </c>
      <c r="G131" s="483" t="s">
        <v>375</v>
      </c>
      <c r="H131" s="455" t="e">
        <f>FIXED(Bar!G556,0)&amp;$O$1</f>
        <v>#VALUE!</v>
      </c>
      <c r="I131" s="481">
        <v>12</v>
      </c>
      <c r="J131" s="483" t="s">
        <v>375</v>
      </c>
      <c r="K131" s="455" t="str">
        <f>FIXED(Bar!I541,0)&amp;$O$1</f>
        <v>2 T</v>
      </c>
      <c r="L131" s="481">
        <v>12</v>
      </c>
      <c r="M131" s="484" t="s">
        <v>375</v>
      </c>
      <c r="N131" s="695" t="e">
        <f>IF(AND(I131&gt;0,I130+I138=0),"SPAN TOP STEEL NOT NEEDED","")</f>
        <v>#VALUE!</v>
      </c>
    </row>
    <row r="132" spans="1:14" ht="15.75">
      <c r="A132" s="125"/>
      <c r="B132" s="453"/>
      <c r="C132" s="272"/>
      <c r="D132" s="343"/>
      <c r="E132" s="455"/>
      <c r="F132" s="487" t="e">
        <f>"+ "&amp;Bar!E551&amp;$O$1&amp;Bar!E550&amp;" between"</f>
        <v>#VALUE!</v>
      </c>
      <c r="G132" s="483"/>
      <c r="H132" s="482"/>
      <c r="I132" s="481"/>
      <c r="J132" s="483"/>
      <c r="K132" s="482"/>
      <c r="L132" s="487" t="e">
        <f>"+ "&amp;Bar!I551&amp;$O$1&amp;Bar!I550&amp;" between"</f>
        <v>#VALUE!</v>
      </c>
      <c r="M132" s="484"/>
      <c r="N132" s="464" t="s">
        <v>383</v>
      </c>
    </row>
    <row r="133" spans="1:14" ht="15.75">
      <c r="A133" s="125"/>
      <c r="B133" s="453"/>
      <c r="C133" s="272" t="s">
        <v>112</v>
      </c>
      <c r="D133" s="343" t="s">
        <v>109</v>
      </c>
      <c r="E133" s="242"/>
      <c r="F133" s="346">
        <f>Bar!E542+Bar!E552</f>
        <v>402.1238596594935</v>
      </c>
      <c r="G133" s="239"/>
      <c r="H133" s="272" t="e">
        <f>H130&amp;" prov"</f>
        <v>#VALUE!</v>
      </c>
      <c r="I133" s="346" t="e">
        <f>Bar!G557</f>
        <v>#VALUE!</v>
      </c>
      <c r="J133" s="239"/>
      <c r="K133" s="272" t="s">
        <v>112</v>
      </c>
      <c r="L133" s="346" t="e">
        <f>Bar!I542+Bar!I552</f>
        <v>#VALUE!</v>
      </c>
      <c r="M133" s="345"/>
      <c r="N133" s="125"/>
    </row>
    <row r="134" spans="1:14" ht="15.75">
      <c r="A134" s="125"/>
      <c r="B134" s="453" t="s">
        <v>113</v>
      </c>
      <c r="C134" s="272"/>
      <c r="D134" s="343"/>
      <c r="E134" s="455" t="e">
        <f>FIXED(Bar!E556,0)&amp;$O$1</f>
        <v>#VALUE!</v>
      </c>
      <c r="F134" s="486">
        <f>L113</f>
        <v>20</v>
      </c>
      <c r="G134" s="483" t="s">
        <v>375</v>
      </c>
      <c r="H134" s="455" t="e">
        <f>FIXED(Bar!G541,0)&amp;$O$1</f>
        <v>#VALUE!</v>
      </c>
      <c r="I134" s="481">
        <v>16</v>
      </c>
      <c r="J134" s="483" t="s">
        <v>375</v>
      </c>
      <c r="K134" s="455" t="e">
        <f>FIXED(Bar!I556,0)&amp;$O$1</f>
        <v>#VALUE!</v>
      </c>
      <c r="L134" s="481">
        <v>16</v>
      </c>
      <c r="M134" s="484" t="s">
        <v>375</v>
      </c>
      <c r="N134" s="125"/>
    </row>
    <row r="135" spans="1:14" ht="15.75">
      <c r="A135" s="125"/>
      <c r="B135" s="453"/>
      <c r="C135" s="272" t="s">
        <v>114</v>
      </c>
      <c r="D135" s="343" t="s">
        <v>109</v>
      </c>
      <c r="E135" s="238"/>
      <c r="F135" s="346" t="e">
        <f>Bar!E557</f>
        <v>#VALUE!</v>
      </c>
      <c r="G135" s="239"/>
      <c r="H135" s="272" t="s">
        <v>112</v>
      </c>
      <c r="I135" s="346" t="e">
        <f>Bar!G542</f>
        <v>#VALUE!</v>
      </c>
      <c r="J135" s="239"/>
      <c r="K135" s="272" t="s">
        <v>114</v>
      </c>
      <c r="L135" s="346" t="e">
        <f>Bar!I557</f>
        <v>#VALUE!</v>
      </c>
      <c r="M135" s="345"/>
      <c r="N135" s="125"/>
    </row>
    <row r="136" spans="1:14" ht="15.75">
      <c r="A136" s="125"/>
      <c r="B136" s="453" t="s">
        <v>115</v>
      </c>
      <c r="C136" s="272" t="s">
        <v>116</v>
      </c>
      <c r="D136" s="343" t="s">
        <v>71</v>
      </c>
      <c r="E136" s="238"/>
      <c r="F136" s="306">
        <f>Bar!E571</f>
        <v>0</v>
      </c>
      <c r="G136" s="239"/>
      <c r="H136" s="238"/>
      <c r="I136" s="306"/>
      <c r="J136" s="239"/>
      <c r="K136" s="272" t="s">
        <v>116</v>
      </c>
      <c r="L136" s="306">
        <f>Bar!I571</f>
        <v>0</v>
      </c>
      <c r="M136" s="345"/>
      <c r="N136" s="125"/>
    </row>
    <row r="137" spans="1:14" ht="15.75">
      <c r="A137" s="125"/>
      <c r="B137" s="453"/>
      <c r="C137" s="272" t="s">
        <v>117</v>
      </c>
      <c r="D137" s="343" t="s">
        <v>11</v>
      </c>
      <c r="E137" s="238"/>
      <c r="F137" s="330">
        <f>Bar!E574</f>
        <v>0</v>
      </c>
      <c r="G137" s="239"/>
      <c r="H137" s="238"/>
      <c r="I137" s="330"/>
      <c r="J137" s="239"/>
      <c r="K137" s="272" t="s">
        <v>117</v>
      </c>
      <c r="L137" s="330">
        <f>Bar!I574</f>
        <v>0</v>
      </c>
      <c r="M137" s="345"/>
      <c r="N137" s="125"/>
    </row>
    <row r="138" spans="1:14" ht="15.75">
      <c r="A138" s="125"/>
      <c r="B138" s="453"/>
      <c r="C138" s="272" t="s">
        <v>118</v>
      </c>
      <c r="D138" s="343" t="s">
        <v>11</v>
      </c>
      <c r="E138" s="238"/>
      <c r="F138" s="330" t="e">
        <f>Bar!E575</f>
        <v>#VALUE!</v>
      </c>
      <c r="G138" s="239"/>
      <c r="H138" s="272" t="s">
        <v>119</v>
      </c>
      <c r="I138" s="270">
        <f>I117</f>
        <v>6</v>
      </c>
      <c r="J138" s="239"/>
      <c r="K138" s="272" t="s">
        <v>118</v>
      </c>
      <c r="L138" s="330" t="e">
        <f>Bar!I575</f>
        <v>#VALUE!</v>
      </c>
      <c r="M138" s="345"/>
      <c r="N138" s="403" t="str">
        <f>IF(AND(O$21=0,I138=0),"ADD LINK Ø",IF(AND(O$21=1,I138&gt;0),"NO LINKS - REMOVE Ø",""))</f>
        <v></v>
      </c>
    </row>
    <row r="139" spans="1:14" ht="15.75">
      <c r="A139" s="125"/>
      <c r="B139" s="453" t="s">
        <v>376</v>
      </c>
      <c r="C139" s="272"/>
      <c r="D139" s="343"/>
      <c r="E139" s="456" t="e">
        <f>IF(F137&gt;F138,"2"&amp;$O$2&amp;FIXED($I138,0)&amp;" @ "&amp;FIXED(Bar!E578,0)&amp;" for "&amp;FIXED(Bar!E579,0,1),".")</f>
        <v>#VALUE!</v>
      </c>
      <c r="F139" s="290"/>
      <c r="G139" s="243"/>
      <c r="H139" s="456" t="str">
        <f>"2"&amp;$O$2&amp;FIXED($I138,0)&amp;" @ "&amp;FIXED(Bar!G578,0)</f>
        <v>2T6 @ 1,200</v>
      </c>
      <c r="I139" s="290"/>
      <c r="J139" s="243"/>
      <c r="K139" s="456" t="e">
        <f>IF(L137&gt;L138,"2"&amp;$O$2&amp;FIXED($I138,0)&amp;" @ "&amp;FIXED(Bar!I578,0)&amp;" for "&amp;FIXED(Bar!I579,0,1),".")</f>
        <v>#VALUE!</v>
      </c>
      <c r="L139" s="290"/>
      <c r="M139" s="291"/>
      <c r="N139" s="464" t="s">
        <v>367</v>
      </c>
    </row>
    <row r="140" spans="1:14" ht="15.75">
      <c r="A140" s="125"/>
      <c r="B140" s="453" t="s">
        <v>120</v>
      </c>
      <c r="C140" s="272"/>
      <c r="D140" s="343"/>
      <c r="E140" s="244" t="s">
        <v>121</v>
      </c>
      <c r="F140" s="330">
        <f>MAX(Bar!E567,Bar!G567)</f>
        <v>0</v>
      </c>
      <c r="G140" s="239"/>
      <c r="H140" s="244" t="s">
        <v>122</v>
      </c>
      <c r="I140" s="330" t="e">
        <f>MAX(Bar!E566,Bar!G566)</f>
        <v>#VALUE!</v>
      </c>
      <c r="J140" s="463" t="e">
        <f>IF(I140&gt;F140,"ok","FAILS")</f>
        <v>#VALUE!</v>
      </c>
      <c r="K140" s="681" t="e">
        <f>IF(MAX(Bar!E568,Bar!G568,Bar!I568)=0,"",P$1&amp;FIXED(MAX(Bar!E568,Bar!G568,Bar!I568)*100,1)&amp;"%)")</f>
        <v>#VALUE!</v>
      </c>
      <c r="L140" s="330"/>
      <c r="M140" s="345"/>
      <c r="N140" s="125"/>
    </row>
    <row r="141" spans="1:14" ht="15.75">
      <c r="A141" s="125"/>
      <c r="B141" s="453" t="s">
        <v>123</v>
      </c>
      <c r="C141" s="348" t="s">
        <v>124</v>
      </c>
      <c r="D141" s="349"/>
      <c r="E141" s="238"/>
      <c r="F141" s="457" t="e">
        <f>IF(AND(Bar!D543="ok",Bar!D558="ok"),"ok","FAILS")</f>
        <v>#VALUE!</v>
      </c>
      <c r="G141" s="239"/>
      <c r="H141" s="238"/>
      <c r="I141" s="457" t="e">
        <f>IF(AND(Bar!F543="ok",Bar!F558="ok"),"ok","FAILS")</f>
        <v>#VALUE!</v>
      </c>
      <c r="J141" s="239"/>
      <c r="K141" s="238"/>
      <c r="L141" s="457" t="e">
        <f>IF(AND(Bar!H543="ok",Bar!H558="ok"),"ok","FAILS")</f>
        <v>#VALUE!</v>
      </c>
      <c r="M141" s="345"/>
      <c r="N141" s="125"/>
    </row>
    <row r="142" spans="1:14" ht="15.75">
      <c r="A142" s="125"/>
      <c r="B142" s="303"/>
      <c r="C142" s="348" t="s">
        <v>125</v>
      </c>
      <c r="D142" s="349"/>
      <c r="E142" s="238"/>
      <c r="F142" s="457" t="str">
        <f>IF(AND(Bar!D540="ok",Bar!D555="ok"),"ok","FAILS")</f>
        <v>ok</v>
      </c>
      <c r="G142" s="239"/>
      <c r="H142" s="238"/>
      <c r="I142" s="457" t="str">
        <f>IF(AND(Bar!F540="ok",Bar!F555="ok"),"ok","FAILS")</f>
        <v>ok</v>
      </c>
      <c r="J142" s="239"/>
      <c r="K142" s="238"/>
      <c r="L142" s="457" t="str">
        <f>IF(AND(Bar!H540="ok",Bar!H555="ok"),"ok","FAILS")</f>
        <v>ok</v>
      </c>
      <c r="M142" s="345"/>
      <c r="N142" s="125"/>
    </row>
    <row r="143" spans="1:14" ht="15.75">
      <c r="A143" s="125"/>
      <c r="B143" s="351"/>
      <c r="C143" s="348" t="s">
        <v>126</v>
      </c>
      <c r="D143" s="349"/>
      <c r="E143" s="238"/>
      <c r="F143" s="457" t="e">
        <f>IF(AND(AND(Bar!D545="ok",Bar!D546="ok"),Bar!D560="ok"),"ok","FAILS")</f>
        <v>#VALUE!</v>
      </c>
      <c r="G143" s="239"/>
      <c r="H143" s="238"/>
      <c r="I143" s="457" t="e">
        <f>IF(AND(AND(Bar!F545="ok",Bar!F546="ok"),Bar!F560="ok"),"ok","FAILS")</f>
        <v>#VALUE!</v>
      </c>
      <c r="J143" s="239"/>
      <c r="K143" s="238"/>
      <c r="L143" s="457" t="e">
        <f>IF(AND(AND(Bar!H545="ok",Bar!H546="ok"),Bar!H560="ok"),"ok","FAILS")</f>
        <v>#VALUE!</v>
      </c>
      <c r="M143" s="345"/>
      <c r="N143" s="125"/>
    </row>
    <row r="144" spans="1:14" ht="27" thickBot="1">
      <c r="A144" s="129"/>
      <c r="B144" s="352"/>
      <c r="C144" s="353" t="s">
        <v>127</v>
      </c>
      <c r="D144" s="354"/>
      <c r="E144" s="460"/>
      <c r="F144" s="458" t="e">
        <f>Bar!D581</f>
        <v>#VALUE!</v>
      </c>
      <c r="G144" s="461"/>
      <c r="H144" s="460"/>
      <c r="I144" s="458" t="e">
        <f>IF(AND(Bar!F580="ok",Bar!F581="ok"),"ok","FAILS")</f>
        <v>#VALUE!</v>
      </c>
      <c r="J144" s="461"/>
      <c r="K144" s="460"/>
      <c r="L144" s="458" t="e">
        <f>Bar!H581</f>
        <v>#VALUE!</v>
      </c>
      <c r="M144" s="462"/>
      <c r="N144" s="125"/>
    </row>
    <row r="145" spans="1:14" ht="21.75" thickTop="1">
      <c r="A145" s="125"/>
      <c r="B145" s="250"/>
      <c r="C145" s="125"/>
      <c r="D145" s="125"/>
      <c r="E145" s="125"/>
      <c r="F145" s="125"/>
      <c r="G145" s="125"/>
      <c r="H145" s="125"/>
      <c r="I145" s="125"/>
      <c r="J145" s="125"/>
      <c r="K145" s="125"/>
      <c r="L145" s="125"/>
      <c r="M145" s="125"/>
      <c r="N145" s="125"/>
    </row>
  </sheetData>
  <sheetProtection sheet="1" objects="1" scenarios="1"/>
  <mergeCells count="6">
    <mergeCell ref="H80:J80"/>
    <mergeCell ref="H107:J107"/>
    <mergeCell ref="H128:J128"/>
    <mergeCell ref="H11:J11"/>
    <mergeCell ref="H32:J32"/>
    <mergeCell ref="H59:J59"/>
  </mergeCells>
  <conditionalFormatting sqref="F24:F27 I24:I27 L24:L27 J23">
    <cfRule type="cellIs" priority="1" dxfId="9" operator="equal" stopIfTrue="1">
      <formula>"ok"</formula>
    </cfRule>
  </conditionalFormatting>
  <conditionalFormatting sqref="N29 N56 N77 N104 N125 N14 N38 N21 N117 N42 N69 N90 N138 N110:N111 N35:N36 N62:N63 N83:N84 N131:N132">
    <cfRule type="cellIs" priority="2" dxfId="1" operator="equal" stopIfTrue="1">
      <formula>""</formula>
    </cfRule>
  </conditionalFormatting>
  <conditionalFormatting sqref="K44:K48 G44:H48 J45:J48 K30:K42 F30:F44 M30:M48 L30:L44 I34 E44:E48 I43:I44 E30:E42 G31:G43 I36:I41 H33:H41 H30:J31 J33:J43">
    <cfRule type="expression" priority="3" dxfId="10" stopIfTrue="1">
      <formula>NOT($N$29="")</formula>
    </cfRule>
  </conditionalFormatting>
  <conditionalFormatting sqref="F45:F48 I45:I48 L45:L48 J44">
    <cfRule type="expression" priority="4" dxfId="11" stopIfTrue="1">
      <formula>NOT($N$29="")</formula>
    </cfRule>
    <cfRule type="cellIs" priority="5" dxfId="9" operator="equal" stopIfTrue="1">
      <formula>"ok"</formula>
    </cfRule>
  </conditionalFormatting>
  <conditionalFormatting sqref="G72:H75 J72:K75 E71:E75 M57:M75 K71 H71 F57:G71 E57:E69 L57:L71 K57:K69 I70:I71 I61 I63:I68 H60:H68 H57:J58 J60:J70">
    <cfRule type="expression" priority="6" dxfId="10" stopIfTrue="1">
      <formula>NOT($N$56="")</formula>
    </cfRule>
  </conditionalFormatting>
  <conditionalFormatting sqref="F72:F75 I72:I75 L72:L75 J71">
    <cfRule type="expression" priority="7" dxfId="11" stopIfTrue="1">
      <formula>NOT($N$56="")</formula>
    </cfRule>
    <cfRule type="cellIs" priority="8" dxfId="9" operator="equal" stopIfTrue="1">
      <formula>"ok"</formula>
    </cfRule>
  </conditionalFormatting>
  <conditionalFormatting sqref="G93:H96 J93:K96 E92:E96 H81:H89 M78:M96 K92 H92 F78:G92 E78:E90 L78:L92 K78:K90 I91:I92 I78 I84:I89 H78:H79 J78:J79 J81:J91">
    <cfRule type="expression" priority="9" dxfId="10" stopIfTrue="1">
      <formula>NOT($N$77="")</formula>
    </cfRule>
  </conditionalFormatting>
  <conditionalFormatting sqref="J92 F93:F96 I93:I96 L93:L96">
    <cfRule type="expression" priority="10" dxfId="11" stopIfTrue="1">
      <formula>NOT($N$77="")</formula>
    </cfRule>
    <cfRule type="cellIs" priority="11" dxfId="9" operator="equal" stopIfTrue="1">
      <formula>"ok"</formula>
    </cfRule>
  </conditionalFormatting>
  <conditionalFormatting sqref="G120:H123 J120:K123 E119:E123 M105:M123 K119 H119 F105:G119 E105:E117 L105:L119 K105:K117 I118:I119 I111:I116 I109 H109:H116 H105:J106 J108:J118">
    <cfRule type="expression" priority="12" dxfId="10" stopIfTrue="1">
      <formula>NOT($N$104="")</formula>
    </cfRule>
  </conditionalFormatting>
  <conditionalFormatting sqref="J119 F120:F123 I120:I123 L120:L123">
    <cfRule type="expression" priority="13" dxfId="11" stopIfTrue="1">
      <formula>NOT($N$104="")</formula>
    </cfRule>
    <cfRule type="cellIs" priority="14" dxfId="9" operator="equal" stopIfTrue="1">
      <formula>"ok"</formula>
    </cfRule>
  </conditionalFormatting>
  <conditionalFormatting sqref="G141:H144 J141:K144 E140:E144 M126:M144 K140 H140 F126:G140 E126:E138 L126:L140 K126:K138 I139:I140 I130 I132:I137 H129:H137 H126:J127 J129:J139">
    <cfRule type="expression" priority="15" dxfId="10" stopIfTrue="1">
      <formula>NOT($N$125="")</formula>
    </cfRule>
  </conditionalFormatting>
  <conditionalFormatting sqref="J140 F141:F144 I141:I144 L141:L144">
    <cfRule type="expression" priority="16" dxfId="11" stopIfTrue="1">
      <formula>NOT($N$125="")</formula>
    </cfRule>
    <cfRule type="cellIs" priority="17" dxfId="9" operator="equal" stopIfTrue="1">
      <formula>"ok"</formula>
    </cfRule>
  </conditionalFormatting>
  <conditionalFormatting sqref="H21:H22">
    <cfRule type="expression" priority="18" dxfId="0" stopIfTrue="1">
      <formula>$O$21=1</formula>
    </cfRule>
  </conditionalFormatting>
  <conditionalFormatting sqref="H42:H43">
    <cfRule type="expression" priority="19" dxfId="10" stopIfTrue="1">
      <formula>NOT($N$29="")</formula>
    </cfRule>
    <cfRule type="expression" priority="20" dxfId="0" stopIfTrue="1">
      <formula>$O$21=1</formula>
    </cfRule>
  </conditionalFormatting>
  <conditionalFormatting sqref="H69:H70">
    <cfRule type="expression" priority="21" dxfId="10" stopIfTrue="1">
      <formula>NOT($N$56="")</formula>
    </cfRule>
    <cfRule type="expression" priority="22" dxfId="0" stopIfTrue="1">
      <formula>$O$21=1</formula>
    </cfRule>
  </conditionalFormatting>
  <conditionalFormatting sqref="H90:H91">
    <cfRule type="expression" priority="23" dxfId="10" stopIfTrue="1">
      <formula>NOT($N$77="")</formula>
    </cfRule>
    <cfRule type="expression" priority="24" dxfId="0" stopIfTrue="1">
      <formula>$O$21=1</formula>
    </cfRule>
  </conditionalFormatting>
  <conditionalFormatting sqref="H117:H118">
    <cfRule type="expression" priority="25" dxfId="10" stopIfTrue="1">
      <formula>NOT($N$104="")</formula>
    </cfRule>
    <cfRule type="expression" priority="26" dxfId="0" stopIfTrue="1">
      <formula>$O$21=1</formula>
    </cfRule>
  </conditionalFormatting>
  <conditionalFormatting sqref="H138:H139">
    <cfRule type="expression" priority="27" dxfId="10" stopIfTrue="1">
      <formula>NOT($N$125="")</formula>
    </cfRule>
    <cfRule type="expression" priority="28" dxfId="0" stopIfTrue="1">
      <formula>$O$21=1</formula>
    </cfRule>
  </conditionalFormatting>
  <conditionalFormatting sqref="I21">
    <cfRule type="expression" priority="29" dxfId="3" stopIfTrue="1">
      <formula>NOT($N$21="")</formula>
    </cfRule>
  </conditionalFormatting>
  <conditionalFormatting sqref="I42">
    <cfRule type="expression" priority="30" dxfId="10" stopIfTrue="1">
      <formula>NOT($N$29="")</formula>
    </cfRule>
    <cfRule type="expression" priority="31" dxfId="3" stopIfTrue="1">
      <formula>NOT($N$42="")</formula>
    </cfRule>
  </conditionalFormatting>
  <conditionalFormatting sqref="I69">
    <cfRule type="expression" priority="32" dxfId="10" stopIfTrue="1">
      <formula>NOT($N$56="")</formula>
    </cfRule>
    <cfRule type="expression" priority="33" dxfId="3" stopIfTrue="1">
      <formula>NOT($N$69="")</formula>
    </cfRule>
  </conditionalFormatting>
  <conditionalFormatting sqref="I90">
    <cfRule type="expression" priority="34" dxfId="10" stopIfTrue="1">
      <formula>NOT($N$77="")</formula>
    </cfRule>
    <cfRule type="expression" priority="35" dxfId="3" stopIfTrue="1">
      <formula>NOT($N$90="")</formula>
    </cfRule>
  </conditionalFormatting>
  <conditionalFormatting sqref="I117">
    <cfRule type="expression" priority="36" dxfId="10" stopIfTrue="1">
      <formula>NOT($N$104="")</formula>
    </cfRule>
    <cfRule type="expression" priority="37" dxfId="3" stopIfTrue="1">
      <formula>NOT($N$117="")</formula>
    </cfRule>
  </conditionalFormatting>
  <conditionalFormatting sqref="I138">
    <cfRule type="expression" priority="38" dxfId="10" stopIfTrue="1">
      <formula>NOT($N$125="")</formula>
    </cfRule>
    <cfRule type="expression" priority="39" dxfId="3" stopIfTrue="1">
      <formula>NOT($N$138="")</formula>
    </cfRule>
  </conditionalFormatting>
  <conditionalFormatting sqref="B22 B43 B70 B91 B118 B139">
    <cfRule type="expression" priority="40" dxfId="0" stopIfTrue="1">
      <formula>$O$21=1</formula>
    </cfRule>
  </conditionalFormatting>
  <conditionalFormatting sqref="N22 N43 N70 N91 N118 N139">
    <cfRule type="expression" priority="41" dxfId="12" stopIfTrue="1">
      <formula>$O$21=1</formula>
    </cfRule>
  </conditionalFormatting>
  <conditionalFormatting sqref="E22 K22">
    <cfRule type="expression" priority="42" dxfId="0" stopIfTrue="1">
      <formula>NOT($O$22=0)</formula>
    </cfRule>
  </conditionalFormatting>
  <conditionalFormatting sqref="E43 K43">
    <cfRule type="expression" priority="43" dxfId="10" stopIfTrue="1">
      <formula>NOT($N$29="")</formula>
    </cfRule>
    <cfRule type="expression" priority="44" dxfId="0" stopIfTrue="1">
      <formula>NOT($O$22=0)</formula>
    </cfRule>
  </conditionalFormatting>
  <conditionalFormatting sqref="E70 K70">
    <cfRule type="expression" priority="45" dxfId="10" stopIfTrue="1">
      <formula>NOT($N$56="")</formula>
    </cfRule>
    <cfRule type="expression" priority="46" dxfId="0" stopIfTrue="1">
      <formula>NOT($O$22=0)</formula>
    </cfRule>
  </conditionalFormatting>
  <conditionalFormatting sqref="E91 K91">
    <cfRule type="expression" priority="47" dxfId="10" stopIfTrue="1">
      <formula>NOT($N$77="")</formula>
    </cfRule>
    <cfRule type="expression" priority="48" dxfId="0" stopIfTrue="1">
      <formula>NOT($O$22=0)</formula>
    </cfRule>
  </conditionalFormatting>
  <conditionalFormatting sqref="E118 K118">
    <cfRule type="expression" priority="49" dxfId="10" stopIfTrue="1">
      <formula>NOT($N$104="")</formula>
    </cfRule>
    <cfRule type="expression" priority="50" dxfId="0" stopIfTrue="1">
      <formula>NOT($O$22=0)</formula>
    </cfRule>
  </conditionalFormatting>
  <conditionalFormatting sqref="E139 K139">
    <cfRule type="expression" priority="51" dxfId="10" stopIfTrue="1">
      <formula>NOT($N$125="")</formula>
    </cfRule>
    <cfRule type="expression" priority="52" dxfId="0" stopIfTrue="1">
      <formula>NOT($O$22=0)</formula>
    </cfRule>
  </conditionalFormatting>
  <conditionalFormatting sqref="G30">
    <cfRule type="expression" priority="53" dxfId="10" stopIfTrue="1">
      <formula>NOT($N$29="")</formula>
    </cfRule>
  </conditionalFormatting>
  <conditionalFormatting sqref="I79 I82">
    <cfRule type="expression" priority="54" dxfId="10" stopIfTrue="1">
      <formula>NOT($N$77="")</formula>
    </cfRule>
  </conditionalFormatting>
  <conditionalFormatting sqref="H108">
    <cfRule type="expression" priority="55" dxfId="10" stopIfTrue="1">
      <formula>NOT($N$104="")</formula>
    </cfRule>
  </conditionalFormatting>
  <conditionalFormatting sqref="N15">
    <cfRule type="expression" priority="56" dxfId="7" stopIfTrue="1">
      <formula>LEFT(S65535,1)="N"</formula>
    </cfRule>
  </conditionalFormatting>
  <conditionalFormatting sqref="N16">
    <cfRule type="expression" priority="57" dxfId="8" stopIfTrue="1">
      <formula>LEFT(S65535,1)="N"</formula>
    </cfRule>
  </conditionalFormatting>
  <conditionalFormatting sqref="I14">
    <cfRule type="expression" priority="58" dxfId="13" stopIfTrue="1">
      <formula>NOT($N$14="")</formula>
    </cfRule>
  </conditionalFormatting>
  <conditionalFormatting sqref="I35">
    <cfRule type="expression" priority="59" dxfId="10" stopIfTrue="1">
      <formula>NOT($N$29="")</formula>
    </cfRule>
    <cfRule type="expression" priority="60" dxfId="13" stopIfTrue="1">
      <formula>NOT($N$35="")</formula>
    </cfRule>
  </conditionalFormatting>
  <conditionalFormatting sqref="I62">
    <cfRule type="expression" priority="61" dxfId="10" stopIfTrue="1">
      <formula>NOT($N$56="")</formula>
    </cfRule>
    <cfRule type="expression" priority="62" dxfId="13" stopIfTrue="1">
      <formula>NOT($N$62="")</formula>
    </cfRule>
  </conditionalFormatting>
  <conditionalFormatting sqref="I83">
    <cfRule type="expression" priority="63" dxfId="10" stopIfTrue="1">
      <formula>NOT($N$77="")</formula>
    </cfRule>
    <cfRule type="expression" priority="64" dxfId="13" stopIfTrue="1">
      <formula>NOT($N$83="")</formula>
    </cfRule>
  </conditionalFormatting>
  <conditionalFormatting sqref="I110">
    <cfRule type="expression" priority="65" dxfId="10" stopIfTrue="1">
      <formula>NOT($N$104="")</formula>
    </cfRule>
    <cfRule type="expression" priority="66" dxfId="13" stopIfTrue="1">
      <formula>NOT($N$110="")</formula>
    </cfRule>
  </conditionalFormatting>
  <conditionalFormatting sqref="I131">
    <cfRule type="expression" priority="67" dxfId="10" stopIfTrue="1">
      <formula>NOT($N$125="")</formula>
    </cfRule>
    <cfRule type="expression" priority="68" dxfId="13" stopIfTrue="1">
      <formula>NOT($N$131="")</formula>
    </cfRule>
  </conditionalFormatting>
  <conditionalFormatting sqref="H11:J11">
    <cfRule type="expression" priority="69" dxfId="14" stopIfTrue="1">
      <formula>$O11&gt;$T$1</formula>
    </cfRule>
  </conditionalFormatting>
  <conditionalFormatting sqref="H32:J32">
    <cfRule type="expression" priority="70" dxfId="10" stopIfTrue="1">
      <formula>NOT($N$29="")</formula>
    </cfRule>
    <cfRule type="expression" priority="71" dxfId="15" stopIfTrue="1">
      <formula>$O$32&gt;$T$1</formula>
    </cfRule>
  </conditionalFormatting>
  <conditionalFormatting sqref="H59:J59 H80:J80 H107:J107 H128:J128">
    <cfRule type="expression" priority="72" dxfId="10" stopIfTrue="1">
      <formula>NOT($N56="")</formula>
    </cfRule>
    <cfRule type="expression" priority="73" dxfId="15" stopIfTrue="1">
      <formula>$O59&gt;$T$1</formula>
    </cfRule>
  </conditionalFormatting>
  <conditionalFormatting sqref="I129 I108 I81 I60 I33">
    <cfRule type="expression" priority="74" dxfId="10" stopIfTrue="1">
      <formula>NOT($N29="")</formula>
    </cfRule>
  </conditionalFormatting>
  <printOptions horizontalCentered="1"/>
  <pageMargins left="0.6299212598425197" right="0.3937007874015748" top="0.4724409448818898" bottom="0.4724409448818898" header="0" footer="0"/>
  <pageSetup fitToHeight="1" fitToWidth="1" horizontalDpi="300" verticalDpi="300" orientation="portrait" paperSize="9" scale="81"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52"/>
  <sheetViews>
    <sheetView showGridLines="0" zoomScale="75" zoomScaleNormal="75" workbookViewId="0" topLeftCell="A1">
      <selection activeCell="A1" sqref="A1"/>
    </sheetView>
  </sheetViews>
  <sheetFormatPr defaultColWidth="9.140625" defaultRowHeight="12.75"/>
  <cols>
    <col min="1" max="1" width="4.421875" style="127" customWidth="1"/>
    <col min="2" max="2" width="16.8515625" style="127" customWidth="1"/>
    <col min="3" max="3" width="19.00390625" style="127" customWidth="1"/>
    <col min="4" max="6" width="13.140625" style="127" customWidth="1"/>
    <col min="7" max="9" width="14.7109375" style="127" customWidth="1"/>
    <col min="10" max="10" width="60.8515625" style="127" customWidth="1"/>
    <col min="11" max="11" width="10.7109375" style="127" customWidth="1"/>
    <col min="12" max="12" width="9.140625" style="127" customWidth="1"/>
    <col min="13" max="13" width="10.7109375" style="127" customWidth="1"/>
    <col min="14" max="16384" width="9.140625" style="127" customWidth="1"/>
  </cols>
  <sheetData>
    <row r="1" spans="1:15" ht="19.5" thickBot="1">
      <c r="A1" s="124"/>
      <c r="B1" s="125"/>
      <c r="C1" s="125"/>
      <c r="D1" s="125"/>
      <c r="E1" s="125"/>
      <c r="F1" s="125"/>
      <c r="G1" s="125"/>
      <c r="H1" s="125"/>
      <c r="I1" s="125"/>
      <c r="J1" s="125"/>
      <c r="L1" s="698">
        <f>MAIN!I22-1</f>
        <v>3</v>
      </c>
      <c r="M1" s="252">
        <f>IF(MAIN!C12&gt;=460,3,2)</f>
        <v>3</v>
      </c>
      <c r="N1" s="253">
        <v>25</v>
      </c>
      <c r="O1" s="253">
        <f>IF(MAIN!$C$12&gt;=460,44,43)</f>
        <v>44</v>
      </c>
    </row>
    <row r="2" spans="1:15" ht="27.75" customHeight="1" thickBot="1" thickTop="1">
      <c r="A2" s="129"/>
      <c r="B2" s="130" t="s">
        <v>1</v>
      </c>
      <c r="C2" s="184" t="str">
        <f>SPANS!C2</f>
        <v>Spreadsheets to BS 8110</v>
      </c>
      <c r="D2" s="131"/>
      <c r="E2" s="131"/>
      <c r="F2" s="221"/>
      <c r="G2" s="820" t="str">
        <f>MAIN!I2</f>
        <v>REINFORCED CONCRETE COUNCIL</v>
      </c>
      <c r="H2" s="821"/>
      <c r="I2" s="822"/>
      <c r="J2" s="251"/>
      <c r="L2" s="224" t="s">
        <v>133</v>
      </c>
      <c r="M2" s="254" t="s">
        <v>134</v>
      </c>
      <c r="N2" s="253">
        <v>30</v>
      </c>
      <c r="O2" s="253">
        <f>IF(MAIN!$C$12&gt;=460,40,39)</f>
        <v>40</v>
      </c>
    </row>
    <row r="3" spans="1:15" ht="16.5" thickTop="1">
      <c r="A3" s="125"/>
      <c r="B3" s="136" t="s">
        <v>2</v>
      </c>
      <c r="C3" s="186" t="str">
        <f>SPANS!C3</f>
        <v>Advisory Group</v>
      </c>
      <c r="D3" s="138"/>
      <c r="E3" s="139"/>
      <c r="F3" s="225"/>
      <c r="G3" s="140" t="s">
        <v>74</v>
      </c>
      <c r="H3" s="188" t="s">
        <v>75</v>
      </c>
      <c r="I3" s="189" t="s">
        <v>76</v>
      </c>
      <c r="J3" s="197"/>
      <c r="M3" s="252"/>
      <c r="N3" s="253">
        <v>35</v>
      </c>
      <c r="O3" s="253">
        <f>IF(MAIN!$C$12&gt;=460,38,36)</f>
        <v>38</v>
      </c>
    </row>
    <row r="4" spans="1:15" ht="18">
      <c r="A4" s="125"/>
      <c r="B4" s="136" t="s">
        <v>5</v>
      </c>
      <c r="C4" s="186" t="str">
        <f>SPANS!C4</f>
        <v>3rd Floor slab,  from 1 to 5a</v>
      </c>
      <c r="D4" s="145"/>
      <c r="E4" s="146"/>
      <c r="F4" s="225"/>
      <c r="G4" s="190" t="str">
        <f>MAIN!I4</f>
        <v>rmw</v>
      </c>
      <c r="H4" s="191">
        <f>MAIN!J4</f>
        <v>39305</v>
      </c>
      <c r="I4" s="192" t="str">
        <f>IF(MAIN!K4=0,"",MAIN!O8&amp;"/"&amp;(MAIN!K4+INT((L1+5)/2)))</f>
        <v>/47</v>
      </c>
      <c r="J4" s="125"/>
      <c r="M4" s="252"/>
      <c r="N4" s="253">
        <v>40</v>
      </c>
      <c r="O4" s="253">
        <f>IF(MAIN!$C$12&gt;=460,35,34)</f>
        <v>35</v>
      </c>
    </row>
    <row r="5" spans="1:15" ht="18">
      <c r="A5" s="125"/>
      <c r="B5" s="147"/>
      <c r="C5" s="148" t="str">
        <f>MAIN!C5</f>
        <v>RIBBED SLABS to BS 8110:1997 (Analysis &amp; Design)</v>
      </c>
      <c r="D5" s="150"/>
      <c r="E5" s="146"/>
      <c r="F5" s="225"/>
      <c r="G5" s="140" t="s">
        <v>77</v>
      </c>
      <c r="H5" s="193" t="s">
        <v>7</v>
      </c>
      <c r="I5" s="142" t="s">
        <v>78</v>
      </c>
      <c r="J5" s="125"/>
      <c r="M5" s="252"/>
      <c r="N5" s="255"/>
      <c r="O5" s="253">
        <f>VLOOKUP(MAIN!C11,N1:O4,2)</f>
        <v>38</v>
      </c>
    </row>
    <row r="6" spans="1:15" ht="18.75" thickBot="1">
      <c r="A6" s="125"/>
      <c r="B6" s="152"/>
      <c r="C6" s="153" t="str">
        <f>SPANS!C6</f>
        <v>Originated from  RCC32.xls v2.2 on CD               © 2000-2003 BCA for RCC</v>
      </c>
      <c r="D6" s="155"/>
      <c r="E6" s="156"/>
      <c r="F6" s="230"/>
      <c r="G6" s="194" t="str">
        <f>IF(MAIN!I6=0,"",MAIN!I6)</f>
        <v>chg</v>
      </c>
      <c r="H6" s="195" t="str">
        <f>IF(MAIN!J6=0,"",MAIN!J6)</f>
        <v>-</v>
      </c>
      <c r="I6" s="196" t="str">
        <f>MAIN!K6</f>
        <v>R68</v>
      </c>
      <c r="J6" s="125"/>
      <c r="M6" s="256">
        <f>IF(MAIN!C12&gt;=425,1,0)</f>
        <v>1</v>
      </c>
      <c r="N6" s="257">
        <v>0</v>
      </c>
      <c r="O6" s="257">
        <v>100</v>
      </c>
    </row>
    <row r="7" spans="1:15" ht="17.25" thickTop="1">
      <c r="A7" s="125"/>
      <c r="B7" s="358"/>
      <c r="C7" s="319"/>
      <c r="D7" s="319"/>
      <c r="E7" s="319"/>
      <c r="F7" s="319"/>
      <c r="G7" s="319"/>
      <c r="H7" s="319"/>
      <c r="I7" s="320"/>
      <c r="J7" s="125"/>
      <c r="M7" s="258" t="s">
        <v>140</v>
      </c>
      <c r="N7" s="257">
        <v>20</v>
      </c>
      <c r="O7" s="257">
        <f>IF(M6=1,110,100)</f>
        <v>110</v>
      </c>
    </row>
    <row r="8" spans="1:15" ht="15.75">
      <c r="A8" s="125"/>
      <c r="B8" s="712" t="s">
        <v>400</v>
      </c>
      <c r="C8" s="310"/>
      <c r="D8" s="310"/>
      <c r="E8" s="310"/>
      <c r="F8" s="359"/>
      <c r="G8" s="360"/>
      <c r="H8" s="361"/>
      <c r="I8" s="302"/>
      <c r="J8" s="125"/>
      <c r="M8" s="260"/>
      <c r="N8" s="257">
        <v>25</v>
      </c>
      <c r="O8" s="257">
        <f>IF(M6=1,180,130)</f>
        <v>180</v>
      </c>
    </row>
    <row r="9" spans="1:15" ht="15.75">
      <c r="A9" s="125"/>
      <c r="B9" s="304"/>
      <c r="C9" s="310"/>
      <c r="D9" s="310"/>
      <c r="E9" s="310"/>
      <c r="F9" s="310"/>
      <c r="G9" s="310"/>
      <c r="H9" s="310"/>
      <c r="I9" s="302"/>
      <c r="J9" s="125"/>
      <c r="M9" s="260"/>
      <c r="N9" s="257">
        <v>32</v>
      </c>
      <c r="O9" s="257">
        <f>IF(M6=1,230,160)</f>
        <v>230</v>
      </c>
    </row>
    <row r="10" spans="1:15" ht="16.5">
      <c r="A10" s="125"/>
      <c r="B10" s="362" t="s">
        <v>135</v>
      </c>
      <c r="C10" s="289"/>
      <c r="D10" s="372" t="s">
        <v>136</v>
      </c>
      <c r="E10" s="373" t="s">
        <v>37</v>
      </c>
      <c r="F10" s="373" t="s">
        <v>137</v>
      </c>
      <c r="G10" s="373" t="s">
        <v>138</v>
      </c>
      <c r="H10" s="373" t="s">
        <v>139</v>
      </c>
      <c r="I10" s="374" t="s">
        <v>48</v>
      </c>
      <c r="J10" s="125"/>
      <c r="K10" s="183" t="s">
        <v>138</v>
      </c>
      <c r="M10" s="260"/>
      <c r="N10" s="257">
        <v>40</v>
      </c>
      <c r="O10" s="257">
        <f>IF(M6=1,280,200)</f>
        <v>280</v>
      </c>
    </row>
    <row r="11" spans="1:15" ht="15.75">
      <c r="A11" s="125"/>
      <c r="B11" s="342"/>
      <c r="C11" s="537" t="s">
        <v>141</v>
      </c>
      <c r="D11" s="537">
        <f>Bar!E46</f>
        <v>2</v>
      </c>
      <c r="E11" s="538" t="str">
        <f>IF(MAIN!C12&gt;=460,"T",IF(MAIN!C12&gt;=425,"Y","R"))</f>
        <v>T</v>
      </c>
      <c r="F11" s="538">
        <f>SPANS!F14</f>
        <v>12</v>
      </c>
      <c r="G11" s="538">
        <f>CEILING(K11,25)</f>
        <v>1025</v>
      </c>
      <c r="H11" s="535">
        <f aca="true" t="shared" si="0" ref="H11:H49">PI()/4*F11^2*78.5/10000</f>
        <v>0.8878140839044756</v>
      </c>
      <c r="I11" s="536">
        <f aca="true" t="shared" si="1" ref="I11:I49">H11*G11/1000*D11</f>
        <v>1.820018872004175</v>
      </c>
      <c r="J11" s="125"/>
      <c r="K11" s="259">
        <f>MAIN!E18-40+VLOOKUP(F11,N$6:O$11,2)+MAIN!C18*250</f>
        <v>1010</v>
      </c>
      <c r="M11" s="260"/>
      <c r="N11" s="257">
        <v>50</v>
      </c>
      <c r="O11" s="257">
        <f>IF(M6=1,350,250)</f>
        <v>350</v>
      </c>
    </row>
    <row r="12" spans="1:11" ht="15.75">
      <c r="A12" s="125"/>
      <c r="B12" s="342"/>
      <c r="C12" s="537"/>
      <c r="D12" s="537">
        <f>Bar!E56</f>
        <v>4</v>
      </c>
      <c r="E12" s="538" t="str">
        <f>E11</f>
        <v>T</v>
      </c>
      <c r="F12" s="538">
        <f>Bar!E55</f>
        <v>8</v>
      </c>
      <c r="G12" s="538">
        <f>CEILING(K12,25)</f>
        <v>1025</v>
      </c>
      <c r="H12" s="535">
        <f>PI()/4*F12^2*78.5/10000</f>
        <v>0.394584037290878</v>
      </c>
      <c r="I12" s="536">
        <f>H12*G12/1000*D12</f>
        <v>1.6177945528925997</v>
      </c>
      <c r="J12" s="125"/>
      <c r="K12" s="259">
        <f>MAIN!E18-40+VLOOKUP(F12,N$6:O$11,2)+MAIN!C18*250</f>
        <v>1010</v>
      </c>
    </row>
    <row r="13" spans="1:11" ht="15.75">
      <c r="A13" s="125"/>
      <c r="B13" s="304"/>
      <c r="C13" s="537" t="s">
        <v>142</v>
      </c>
      <c r="D13" s="537">
        <f>Bar!G61</f>
        <v>1</v>
      </c>
      <c r="E13" s="538" t="str">
        <f>E11</f>
        <v>T</v>
      </c>
      <c r="F13" s="538">
        <f>SPANS!I14</f>
        <v>16</v>
      </c>
      <c r="G13" s="538">
        <f>CEILING(K13,25)</f>
        <v>2225</v>
      </c>
      <c r="H13" s="535">
        <f t="shared" si="0"/>
        <v>1.578336149163512</v>
      </c>
      <c r="I13" s="536">
        <f t="shared" si="1"/>
        <v>3.511797931888814</v>
      </c>
      <c r="J13" s="125"/>
      <c r="K13" s="259">
        <f>500*MAIN!C18+2*F13*O$5</f>
        <v>2216</v>
      </c>
    </row>
    <row r="14" spans="1:11" ht="15.75">
      <c r="A14" s="125"/>
      <c r="B14" s="342"/>
      <c r="C14" s="537" t="s">
        <v>143</v>
      </c>
      <c r="D14" s="537">
        <f>Bar!I46</f>
        <v>2</v>
      </c>
      <c r="E14" s="538" t="str">
        <f>E13</f>
        <v>T</v>
      </c>
      <c r="F14" s="538">
        <f>SPANS!L14</f>
        <v>20</v>
      </c>
      <c r="G14" s="538">
        <f>CEILING(K14,25)</f>
        <v>2250</v>
      </c>
      <c r="H14" s="535">
        <f t="shared" si="0"/>
        <v>2.4661502330679874</v>
      </c>
      <c r="I14" s="536">
        <f t="shared" si="1"/>
        <v>11.097676048805942</v>
      </c>
      <c r="J14" s="125"/>
      <c r="K14" s="259">
        <f>250*MAIN!C18+IF(MAIN!I$22&gt;2,250*MAIN!C19,MAIN!F18-40+VLOOKUP(F14,N$6:O$11,2))</f>
        <v>2250</v>
      </c>
    </row>
    <row r="15" spans="1:11" ht="15.75">
      <c r="A15" s="125"/>
      <c r="B15" s="342"/>
      <c r="C15" s="537"/>
      <c r="D15" s="537">
        <f>IF(OR(Bar!I57&gt;Bar!E153,L1&lt;2),Bar!I56,Bar!E152)</f>
        <v>4</v>
      </c>
      <c r="E15" s="538" t="str">
        <f>E14</f>
        <v>T</v>
      </c>
      <c r="F15" s="538">
        <f>IF(OR(Bar!I57&gt;Bar!E153,L1&lt;2),Bar!I55,Bar!E151)</f>
        <v>8</v>
      </c>
      <c r="G15" s="538">
        <f>CEILING(K15,25)</f>
        <v>2250</v>
      </c>
      <c r="H15" s="535">
        <f>PI()/4*F15^2*78.5/10000</f>
        <v>0.394584037290878</v>
      </c>
      <c r="I15" s="536">
        <f>H15*G15/1000*D15</f>
        <v>3.551256335617902</v>
      </c>
      <c r="J15" s="125"/>
      <c r="K15" s="259">
        <f>250*MAIN!C18+IF(MAIN!I$22&gt;2,250*MAIN!C19,MAIN!F18-40+VLOOKUP(F15,N$6:O$11,2))</f>
        <v>2250</v>
      </c>
    </row>
    <row r="16" spans="1:11" ht="15.75">
      <c r="A16" s="125"/>
      <c r="B16" s="304"/>
      <c r="C16" s="537" t="str">
        <f>IF(MAIN!I$22&gt;2,"Span 2",0)</f>
        <v>Span 2</v>
      </c>
      <c r="D16" s="537">
        <f>IF(C16=0,0,Bar!G157)</f>
        <v>4</v>
      </c>
      <c r="E16" s="538" t="str">
        <f>IF(C16=0,C16,E14)</f>
        <v>T</v>
      </c>
      <c r="F16" s="538">
        <f>IF(C16=0,C16,SPANS!I35)</f>
        <v>12</v>
      </c>
      <c r="G16" s="538">
        <f aca="true" t="shared" si="2" ref="G16:G29">IF(C16=0,0,CEILING(K16,25))</f>
        <v>4425</v>
      </c>
      <c r="H16" s="535">
        <f t="shared" si="0"/>
        <v>0.8878140839044756</v>
      </c>
      <c r="I16" s="536">
        <f t="shared" si="1"/>
        <v>15.714309285109216</v>
      </c>
      <c r="J16" s="125"/>
      <c r="K16" s="259">
        <f>500*MAIN!C19+2*F16*O$5</f>
        <v>4412</v>
      </c>
    </row>
    <row r="17" spans="1:11" ht="15.75">
      <c r="A17" s="125"/>
      <c r="B17" s="304"/>
      <c r="C17" s="537" t="str">
        <f>IF(C16=0,0,"Support 3")</f>
        <v>Support 3</v>
      </c>
      <c r="D17" s="537">
        <f>IF(C17=0,0,Bar!I142)</f>
        <v>2</v>
      </c>
      <c r="E17" s="538" t="str">
        <f>IF(C17=0,C17,E16)</f>
        <v>T</v>
      </c>
      <c r="F17" s="538">
        <f>IF(C17=0,C17,SPANS!L35)</f>
        <v>20</v>
      </c>
      <c r="G17" s="538">
        <f t="shared" si="2"/>
        <v>3625</v>
      </c>
      <c r="H17" s="535">
        <f t="shared" si="0"/>
        <v>2.4661502330679874</v>
      </c>
      <c r="I17" s="536">
        <f t="shared" si="1"/>
        <v>17.87958918974291</v>
      </c>
      <c r="J17" s="125"/>
      <c r="K17" s="259">
        <f>250*MAIN!C19+IF(MAIN!I$22&gt;3,250*MAIN!C20,MAIN!F19-40+VLOOKUP(F17,N$6:O$11,2))</f>
        <v>3625</v>
      </c>
    </row>
    <row r="18" spans="1:11" ht="15.75">
      <c r="A18" s="125"/>
      <c r="B18" s="304"/>
      <c r="C18" s="537"/>
      <c r="D18" s="537">
        <f>IF(C17=0,0,IF(OR(Bar!I153&gt;Bar!E251,L1&lt;3),Bar!I152,Bar!E250))</f>
        <v>4</v>
      </c>
      <c r="E18" s="538" t="str">
        <f>IF(C17=0,C18,E17)</f>
        <v>T</v>
      </c>
      <c r="F18" s="538">
        <f>IF(C17=0,0,IF(OR(Bar!I153&gt;Bar!E251,L1&lt;2),Bar!I151,Bar!E249))</f>
        <v>8</v>
      </c>
      <c r="G18" s="538">
        <f>IF(C17=0,0,CEILING(K18,25))</f>
        <v>3625</v>
      </c>
      <c r="H18" s="535">
        <f>PI()/4*F18^2*78.5/10000</f>
        <v>0.394584037290878</v>
      </c>
      <c r="I18" s="536">
        <f>H18*G18/1000*D18</f>
        <v>5.721468540717731</v>
      </c>
      <c r="J18" s="125"/>
      <c r="K18" s="259">
        <f>250*MAIN!C19+IF(MAIN!I$22&gt;3,250*MAIN!C20,MAIN!F19-40+VLOOKUP(F18,N$6:O$11,2))</f>
        <v>3625</v>
      </c>
    </row>
    <row r="19" spans="1:11" ht="15.75">
      <c r="A19" s="125"/>
      <c r="B19" s="304"/>
      <c r="C19" s="537" t="str">
        <f>IF(MAIN!I$22&gt;3,"Span 3",0)</f>
        <v>Span 3</v>
      </c>
      <c r="D19" s="537">
        <f>IF(C19=0,0,Bar!G255)</f>
        <v>3</v>
      </c>
      <c r="E19" s="538" t="str">
        <f>IF(C19=0,C19,E17)</f>
        <v>T</v>
      </c>
      <c r="F19" s="538">
        <f>IF(C19=0,C19,SPANS!I62)</f>
        <v>12</v>
      </c>
      <c r="G19" s="538">
        <f t="shared" si="2"/>
        <v>4675</v>
      </c>
      <c r="H19" s="535">
        <f t="shared" si="0"/>
        <v>0.8878140839044756</v>
      </c>
      <c r="I19" s="536">
        <f t="shared" si="1"/>
        <v>12.451592526760269</v>
      </c>
      <c r="J19" s="125"/>
      <c r="K19" s="259">
        <f>500*MAIN!C20+2*F19*O$5</f>
        <v>4662</v>
      </c>
    </row>
    <row r="20" spans="1:11" ht="15.75">
      <c r="A20" s="125"/>
      <c r="B20" s="342"/>
      <c r="C20" s="537" t="str">
        <f>IF(C19=0,0,"Support 4")</f>
        <v>Support 4</v>
      </c>
      <c r="D20" s="537">
        <f>IF(C20=0,0,Bar!I240)</f>
        <v>2</v>
      </c>
      <c r="E20" s="538" t="str">
        <f>IF(C20=0,C20,E19)</f>
        <v>T</v>
      </c>
      <c r="F20" s="538">
        <f>IF(C20=0,C20,SPANS!L62)</f>
        <v>20</v>
      </c>
      <c r="G20" s="538">
        <f t="shared" si="2"/>
        <v>2400</v>
      </c>
      <c r="H20" s="535">
        <f t="shared" si="0"/>
        <v>2.4661502330679874</v>
      </c>
      <c r="I20" s="536">
        <f t="shared" si="1"/>
        <v>11.83752111872634</v>
      </c>
      <c r="J20" s="125"/>
      <c r="K20" s="259">
        <f>250*MAIN!C20+IF(MAIN!I$22&gt;4,250*MAIN!C21,MAIN!F20-40+VLOOKUP(F20,N$6:O$11,2))</f>
        <v>2395</v>
      </c>
    </row>
    <row r="21" spans="1:11" ht="15.75">
      <c r="A21" s="125"/>
      <c r="B21" s="342"/>
      <c r="C21" s="537"/>
      <c r="D21" s="537">
        <f>IF(C20=0,0,IF(OR(Bar!I251&gt;Bar!E353,L1&lt;4),Bar!I250,Bar!E352))</f>
        <v>4</v>
      </c>
      <c r="E21" s="538" t="str">
        <f>IF(C20=0,C21,E20)</f>
        <v>T</v>
      </c>
      <c r="F21" s="538">
        <f>IF(C20=0,0,IF(OR(Bar!I251&gt;Bar!E353,L1&lt;2),Bar!I249,Bar!E351))</f>
        <v>8</v>
      </c>
      <c r="G21" s="538">
        <f>IF(C20=0,0,CEILING(K21,25))</f>
        <v>2400</v>
      </c>
      <c r="H21" s="535">
        <f>PI()/4*F21^2*78.5/10000</f>
        <v>0.394584037290878</v>
      </c>
      <c r="I21" s="536">
        <f>H21*G21/1000*D21</f>
        <v>3.788006757992429</v>
      </c>
      <c r="J21" s="125"/>
      <c r="K21" s="259">
        <f>250*MAIN!C20+IF(MAIN!I$22&gt;4,250*MAIN!C21,MAIN!F20-40+VLOOKUP(F21,N$6:O$11,2))</f>
        <v>2385</v>
      </c>
    </row>
    <row r="22" spans="1:11" ht="15.75">
      <c r="A22" s="125"/>
      <c r="B22" s="364"/>
      <c r="C22" s="537">
        <f>IF(MAIN!I$22&gt;4,"Span 4",0)</f>
        <v>0</v>
      </c>
      <c r="D22" s="537">
        <f>IF(C22=0,0,Bar!G357)</f>
        <v>0</v>
      </c>
      <c r="E22" s="538">
        <f>IF(C22=0,C22,E20)</f>
        <v>0</v>
      </c>
      <c r="F22" s="538">
        <f>IF(C22=0,C22,SPANS!I83)</f>
        <v>0</v>
      </c>
      <c r="G22" s="538">
        <f t="shared" si="2"/>
        <v>0</v>
      </c>
      <c r="H22" s="535">
        <f t="shared" si="0"/>
        <v>0</v>
      </c>
      <c r="I22" s="536">
        <f t="shared" si="1"/>
        <v>0</v>
      </c>
      <c r="J22" s="125"/>
      <c r="K22" s="259">
        <f>500*MAIN!C21+2*F22*O$5</f>
        <v>0</v>
      </c>
    </row>
    <row r="23" spans="1:11" ht="15.75">
      <c r="A23" s="125"/>
      <c r="B23" s="364"/>
      <c r="C23" s="537">
        <f>IF(C22=0,0,"Support 5")</f>
        <v>0</v>
      </c>
      <c r="D23" s="537">
        <f>IF(C23=0,0,Bar!I342)</f>
        <v>0</v>
      </c>
      <c r="E23" s="538">
        <f>IF(C23=0,C23,E22)</f>
        <v>0</v>
      </c>
      <c r="F23" s="538">
        <f>IF(C23=0,C23,SPANS!L83)</f>
        <v>0</v>
      </c>
      <c r="G23" s="538">
        <f t="shared" si="2"/>
        <v>0</v>
      </c>
      <c r="H23" s="535">
        <f t="shared" si="0"/>
        <v>0</v>
      </c>
      <c r="I23" s="536">
        <f t="shared" si="1"/>
        <v>0</v>
      </c>
      <c r="J23" s="125"/>
      <c r="K23" s="259">
        <f>250*MAIN!C21+IF(MAIN!I$22&gt;5,250*MAIN!C22,MAIN!F21-40+VLOOKUP(F23,N$6:O$11,2))</f>
        <v>60</v>
      </c>
    </row>
    <row r="24" spans="1:11" ht="15.75">
      <c r="A24" s="125"/>
      <c r="B24" s="364"/>
      <c r="C24" s="537"/>
      <c r="D24" s="537">
        <f>IF(C23=0,0,IF(OR(Bar!I353&gt;Bar!E451,L1&lt;5),Bar!I352,Bar!E450))</f>
        <v>0</v>
      </c>
      <c r="E24" s="538">
        <f>IF(C23=0,C24,E23)</f>
        <v>0</v>
      </c>
      <c r="F24" s="538">
        <f>IF(C23=0,0,IF(OR(Bar!I353&gt;Bar!E451,L1&lt;2),Bar!I351,Bar!E449))</f>
        <v>0</v>
      </c>
      <c r="G24" s="538">
        <f>IF(C23=0,0,CEILING(K24,25))</f>
        <v>0</v>
      </c>
      <c r="H24" s="535">
        <f>PI()/4*F24^2*78.5/10000</f>
        <v>0</v>
      </c>
      <c r="I24" s="536">
        <f>H24*G24/1000*D24</f>
        <v>0</v>
      </c>
      <c r="J24" s="125"/>
      <c r="K24" s="259">
        <f>250*MAIN!C21+IF(MAIN!I$22&gt;5,250*MAIN!C22,MAIN!F21-40+VLOOKUP(F24,N$6:O$11,2))</f>
        <v>60</v>
      </c>
    </row>
    <row r="25" spans="1:11" ht="15.75">
      <c r="A25" s="125"/>
      <c r="B25" s="364"/>
      <c r="C25" s="537">
        <f>IF(MAIN!I$22&gt;5,"Span 5",0)</f>
        <v>0</v>
      </c>
      <c r="D25" s="537">
        <f>IF(C25=0,0,Bar!G455)</f>
        <v>0</v>
      </c>
      <c r="E25" s="538">
        <f>IF(C25=0,C25,E23)</f>
        <v>0</v>
      </c>
      <c r="F25" s="538">
        <f>IF(C25=0,C25,SPANS!I110)</f>
        <v>0</v>
      </c>
      <c r="G25" s="538">
        <f t="shared" si="2"/>
        <v>0</v>
      </c>
      <c r="H25" s="535">
        <f t="shared" si="0"/>
        <v>0</v>
      </c>
      <c r="I25" s="536">
        <f t="shared" si="1"/>
        <v>0</v>
      </c>
      <c r="J25" s="125"/>
      <c r="K25" s="259">
        <f>500*MAIN!C22+2*F25*O$5</f>
        <v>0</v>
      </c>
    </row>
    <row r="26" spans="1:11" ht="15.75">
      <c r="A26" s="125"/>
      <c r="B26" s="364"/>
      <c r="C26" s="537">
        <f>IF(C25=0,0,"Support 6")</f>
        <v>0</v>
      </c>
      <c r="D26" s="537">
        <f>IF(C26=0,0,Bar!I440)</f>
        <v>0</v>
      </c>
      <c r="E26" s="538">
        <f>IF(C26=0,C26,E25)</f>
        <v>0</v>
      </c>
      <c r="F26" s="538">
        <f>IF(C26=0,C26,SPANS!L110)</f>
        <v>0</v>
      </c>
      <c r="G26" s="538">
        <f t="shared" si="2"/>
        <v>0</v>
      </c>
      <c r="H26" s="535">
        <f t="shared" si="0"/>
        <v>0</v>
      </c>
      <c r="I26" s="536">
        <f t="shared" si="1"/>
        <v>0</v>
      </c>
      <c r="J26" s="125"/>
      <c r="K26" s="259">
        <f>250*MAIN!C22+IF(MAIN!I$22&gt;6,250*MAIN!C23,MAIN!F22-40+VLOOKUP(F26,N$6:O$11,2))</f>
        <v>60</v>
      </c>
    </row>
    <row r="27" spans="1:11" ht="15.75">
      <c r="A27" s="125"/>
      <c r="B27" s="364"/>
      <c r="C27" s="537"/>
      <c r="D27" s="537">
        <f>IF(C26=0,0,IF(OR(Bar!I451&gt;Bar!E552,L1&lt;6),Bar!I450,Bar!E551))</f>
        <v>0</v>
      </c>
      <c r="E27" s="538">
        <f>IF(C26=0,C27,E26)</f>
        <v>0</v>
      </c>
      <c r="F27" s="538">
        <f>IF(C26=0,0,IF(OR(Bar!I451&gt;Bar!E552,L1&lt;2),Bar!I449,Bar!E550))</f>
        <v>0</v>
      </c>
      <c r="G27" s="538">
        <f>IF(C26=0,0,CEILING(K27,25))</f>
        <v>0</v>
      </c>
      <c r="H27" s="535">
        <f>PI()/4*F27^2*78.5/10000</f>
        <v>0</v>
      </c>
      <c r="I27" s="536">
        <f>H27*G27/1000*D27</f>
        <v>0</v>
      </c>
      <c r="J27" s="125"/>
      <c r="K27" s="259">
        <f>250*MAIN!C22+IF(MAIN!I$22&gt;6,250*MAIN!C23,MAIN!F22-40+VLOOKUP(F27,N$6:O$11,2))</f>
        <v>60</v>
      </c>
    </row>
    <row r="28" spans="1:11" ht="15.75">
      <c r="A28" s="125"/>
      <c r="B28" s="364"/>
      <c r="C28" s="537">
        <f>IF(MAIN!I$22&gt;6,"Span 6",0)</f>
        <v>0</v>
      </c>
      <c r="D28" s="537">
        <f>IF(C28=0,0,Bar!G556)</f>
        <v>0</v>
      </c>
      <c r="E28" s="538">
        <f>IF(C28=0,C28,E26)</f>
        <v>0</v>
      </c>
      <c r="F28" s="538">
        <f>IF(C28=0,C28,SPANS!I131)</f>
        <v>0</v>
      </c>
      <c r="G28" s="538">
        <f t="shared" si="2"/>
        <v>0</v>
      </c>
      <c r="H28" s="535">
        <f t="shared" si="0"/>
        <v>0</v>
      </c>
      <c r="I28" s="536">
        <f t="shared" si="1"/>
        <v>0</v>
      </c>
      <c r="J28" s="125"/>
      <c r="K28" s="259">
        <f>500*MAIN!C23+2*F28*O$5</f>
        <v>0</v>
      </c>
    </row>
    <row r="29" spans="1:11" ht="15.75">
      <c r="A29" s="125"/>
      <c r="B29" s="364"/>
      <c r="C29" s="537">
        <f>IF(C28=0,0,"Support 7")</f>
        <v>0</v>
      </c>
      <c r="D29" s="537">
        <f>IF(C29=0,0,Bar!I541)</f>
        <v>0</v>
      </c>
      <c r="E29" s="538">
        <f>IF(C29=0,C29,E28)</f>
        <v>0</v>
      </c>
      <c r="F29" s="538">
        <f>IF(C29=0,C29,SPANS!L131)</f>
        <v>0</v>
      </c>
      <c r="G29" s="538">
        <f t="shared" si="2"/>
        <v>0</v>
      </c>
      <c r="H29" s="535">
        <f t="shared" si="0"/>
        <v>0</v>
      </c>
      <c r="I29" s="536">
        <f t="shared" si="1"/>
        <v>0</v>
      </c>
      <c r="J29" s="125"/>
      <c r="K29" s="259">
        <f>250*MAIN!C23+MAIN!F23-40+VLOOKUP(F29,N$6:O$11,2)</f>
        <v>60</v>
      </c>
    </row>
    <row r="30" spans="1:11" ht="15.75">
      <c r="A30" s="125"/>
      <c r="B30" s="364"/>
      <c r="C30" s="537"/>
      <c r="D30" s="537">
        <f>IF(C29=0,0,Bar!I551)</f>
        <v>0</v>
      </c>
      <c r="E30" s="538">
        <f>IF(C29=0,C30,E29)</f>
        <v>0</v>
      </c>
      <c r="F30" s="538">
        <f>IF(C29=0,0,Bar!I550)</f>
        <v>0</v>
      </c>
      <c r="G30" s="538">
        <f>IF(C29=0,0,CEILING(K30,25))</f>
        <v>0</v>
      </c>
      <c r="H30" s="535">
        <f>PI()/4*F30^2*78.5/10000</f>
        <v>0</v>
      </c>
      <c r="I30" s="536">
        <f>H30*G30/1000*D30</f>
        <v>0</v>
      </c>
      <c r="J30" s="125"/>
      <c r="K30" s="259">
        <f>250*MAIN!C23+MAIN!F23-40+VLOOKUP(F30,N$6:O$11,2)</f>
        <v>60</v>
      </c>
    </row>
    <row r="31" spans="1:11" ht="15.75">
      <c r="A31" s="125"/>
      <c r="B31" s="362" t="s">
        <v>144</v>
      </c>
      <c r="C31" s="537" t="s">
        <v>141</v>
      </c>
      <c r="D31" s="537">
        <f>Bar!E61</f>
        <v>1</v>
      </c>
      <c r="E31" s="538" t="str">
        <f>E11</f>
        <v>T</v>
      </c>
      <c r="F31" s="538">
        <f>SPANS!F17</f>
        <v>16</v>
      </c>
      <c r="G31" s="538">
        <f>CEILING(K31,25)</f>
        <v>1150</v>
      </c>
      <c r="H31" s="535">
        <f t="shared" si="0"/>
        <v>1.578336149163512</v>
      </c>
      <c r="I31" s="536">
        <f t="shared" si="1"/>
        <v>1.8150865715380387</v>
      </c>
      <c r="J31" s="125"/>
      <c r="K31" s="259">
        <f>MAIN!E18-15+F31*O$5+VLOOKUP(F31,N$6:O$11,2)</f>
        <v>1143</v>
      </c>
    </row>
    <row r="32" spans="1:11" ht="15.75">
      <c r="A32" s="125"/>
      <c r="B32" s="304"/>
      <c r="C32" s="537" t="s">
        <v>142</v>
      </c>
      <c r="D32" s="537">
        <f>Bar!G46</f>
        <v>1</v>
      </c>
      <c r="E32" s="538" t="str">
        <f>E31</f>
        <v>T</v>
      </c>
      <c r="F32" s="538">
        <f>SPANS!I17</f>
        <v>20</v>
      </c>
      <c r="G32" s="538">
        <f>CEILING(K32,25)</f>
        <v>400</v>
      </c>
      <c r="H32" s="535">
        <f t="shared" si="0"/>
        <v>2.4661502330679874</v>
      </c>
      <c r="I32" s="536">
        <f t="shared" si="1"/>
        <v>0.986460093227195</v>
      </c>
      <c r="J32" s="125"/>
      <c r="K32" s="259">
        <f>1000*MAIN!C18-50-MAIN!E18-MAIN!F18</f>
        <v>400</v>
      </c>
    </row>
    <row r="33" spans="1:11" ht="15.75">
      <c r="A33" s="125"/>
      <c r="B33" s="304"/>
      <c r="C33" s="537" t="s">
        <v>143</v>
      </c>
      <c r="D33" s="537">
        <f>IF(C33=0,0,Bar!I61)</f>
        <v>1</v>
      </c>
      <c r="E33" s="538" t="str">
        <f>E32</f>
        <v>T</v>
      </c>
      <c r="F33" s="538">
        <f>SPANS!L17</f>
        <v>12</v>
      </c>
      <c r="G33" s="538">
        <f>CEILING(K33,25)</f>
        <v>3175</v>
      </c>
      <c r="H33" s="535">
        <f t="shared" si="0"/>
        <v>0.8878140839044756</v>
      </c>
      <c r="I33" s="536">
        <f t="shared" si="1"/>
        <v>2.81880971639671</v>
      </c>
      <c r="J33" s="125"/>
      <c r="K33" s="259">
        <f>MAIN!F18+MAIN!E19+F33*O$5+25+IF(C33=0,VLOOKUP(F33,N$6:O$11,2)-40,F33*O$5+25)</f>
        <v>3162</v>
      </c>
    </row>
    <row r="34" spans="1:11" ht="15.75">
      <c r="A34" s="125"/>
      <c r="B34" s="304"/>
      <c r="C34" s="537" t="str">
        <f>+C16</f>
        <v>Span 2</v>
      </c>
      <c r="D34" s="537">
        <f>IF(C34=0,0,Bar!G142)</f>
        <v>3</v>
      </c>
      <c r="E34" s="538" t="str">
        <f aca="true" t="shared" si="3" ref="E34:E43">IF(C34=0,C34,E33)</f>
        <v>T</v>
      </c>
      <c r="F34" s="538">
        <f>IF(C34=0,C34,SPANS!I38)</f>
        <v>20</v>
      </c>
      <c r="G34" s="538">
        <f aca="true" t="shared" si="4" ref="G34:G43">IF(C34=0,0,CEILING(K34,25))</f>
        <v>4750</v>
      </c>
      <c r="H34" s="535">
        <f t="shared" si="0"/>
        <v>2.4661502330679874</v>
      </c>
      <c r="I34" s="536">
        <f t="shared" si="1"/>
        <v>35.14264082121882</v>
      </c>
      <c r="J34" s="125"/>
      <c r="K34" s="259">
        <f>1000*MAIN!C19-50-MAIN!E19-MAIN!F19</f>
        <v>4750</v>
      </c>
    </row>
    <row r="35" spans="1:11" ht="15.75">
      <c r="A35" s="125"/>
      <c r="B35" s="304"/>
      <c r="C35" s="537" t="str">
        <f>+C17</f>
        <v>Support 3</v>
      </c>
      <c r="D35" s="537">
        <f>IF(C35=0,0,Bar!I157)</f>
        <v>3</v>
      </c>
      <c r="E35" s="538" t="str">
        <f t="shared" si="3"/>
        <v>T</v>
      </c>
      <c r="F35" s="538">
        <f>IF(C35=0,C35,SPANS!L38)</f>
        <v>12</v>
      </c>
      <c r="G35" s="538">
        <f t="shared" si="4"/>
        <v>3175</v>
      </c>
      <c r="H35" s="535">
        <f t="shared" si="0"/>
        <v>0.8878140839044756</v>
      </c>
      <c r="I35" s="536">
        <f t="shared" si="1"/>
        <v>8.456429149190129</v>
      </c>
      <c r="J35" s="125"/>
      <c r="K35" s="259">
        <f>MAIN!F19+MAIN!E20+F35*O$5+25+IF(C35=0,VLOOKUP(F35,N$6:O$11,2)-40,F35*O$5+25)</f>
        <v>3162</v>
      </c>
    </row>
    <row r="36" spans="1:14" ht="15.75">
      <c r="A36" s="125"/>
      <c r="B36" s="304"/>
      <c r="C36" s="537" t="str">
        <f>+C19</f>
        <v>Span 3</v>
      </c>
      <c r="D36" s="537">
        <f>IF(C36=0,0,Bar!G240)</f>
        <v>2</v>
      </c>
      <c r="E36" s="538" t="str">
        <f t="shared" si="3"/>
        <v>T</v>
      </c>
      <c r="F36" s="538">
        <f>IF(C36=0,C36,SPANS!I65)</f>
        <v>25</v>
      </c>
      <c r="G36" s="538">
        <f t="shared" si="4"/>
        <v>5900</v>
      </c>
      <c r="H36" s="535">
        <f t="shared" si="0"/>
        <v>3.8533597391687304</v>
      </c>
      <c r="I36" s="536">
        <f t="shared" si="1"/>
        <v>45.46964492219102</v>
      </c>
      <c r="J36" s="125"/>
      <c r="K36" s="259">
        <f>1000*MAIN!C20-50-MAIN!E20-MAIN!F20</f>
        <v>5900</v>
      </c>
      <c r="M36" s="169"/>
      <c r="N36" s="169"/>
    </row>
    <row r="37" spans="1:11" ht="15.75">
      <c r="A37" s="125"/>
      <c r="B37" s="304"/>
      <c r="C37" s="537" t="str">
        <f>+C20</f>
        <v>Support 4</v>
      </c>
      <c r="D37" s="537">
        <f>IF(C37=0,0,Bar!I255)</f>
        <v>3</v>
      </c>
      <c r="E37" s="538" t="str">
        <f t="shared" si="3"/>
        <v>T</v>
      </c>
      <c r="F37" s="538">
        <f>IF(C37=0,C37,SPANS!L65)</f>
        <v>16</v>
      </c>
      <c r="G37" s="538">
        <f t="shared" si="4"/>
        <v>1725</v>
      </c>
      <c r="H37" s="535">
        <f t="shared" si="0"/>
        <v>1.578336149163512</v>
      </c>
      <c r="I37" s="536">
        <f t="shared" si="1"/>
        <v>8.167889571921174</v>
      </c>
      <c r="J37" s="125"/>
      <c r="K37" s="259">
        <f>MAIN!F20+MAIN!E21+F37*O$5+25+IF(C37=0,VLOOKUP(F37,N$6:O$11,2)-40,F37*O$5+25)</f>
        <v>1716</v>
      </c>
    </row>
    <row r="38" spans="1:11" ht="15.75">
      <c r="A38" s="125"/>
      <c r="B38" s="304"/>
      <c r="C38" s="537">
        <f>+C22</f>
        <v>0</v>
      </c>
      <c r="D38" s="537">
        <f>IF(C38=0,0,Bar!G342)</f>
        <v>0</v>
      </c>
      <c r="E38" s="538">
        <f t="shared" si="3"/>
        <v>0</v>
      </c>
      <c r="F38" s="538">
        <f>IF(C38=0,C38,SPANS!I86)</f>
        <v>0</v>
      </c>
      <c r="G38" s="538">
        <f t="shared" si="4"/>
        <v>0</v>
      </c>
      <c r="H38" s="535">
        <f t="shared" si="0"/>
        <v>0</v>
      </c>
      <c r="I38" s="536">
        <f t="shared" si="1"/>
        <v>0</v>
      </c>
      <c r="J38" s="125"/>
      <c r="K38" s="259">
        <f>1000*MAIN!C21-50-MAIN!E21-MAIN!F21</f>
        <v>-50</v>
      </c>
    </row>
    <row r="39" spans="1:11" ht="15.75">
      <c r="A39" s="125"/>
      <c r="B39" s="304"/>
      <c r="C39" s="537">
        <f>+C23</f>
        <v>0</v>
      </c>
      <c r="D39" s="537">
        <f>IF(C39=0,0,Bar!I357)</f>
        <v>0</v>
      </c>
      <c r="E39" s="538">
        <f t="shared" si="3"/>
        <v>0</v>
      </c>
      <c r="F39" s="538">
        <f>IF(C39=0,C39,SPANS!L86)</f>
        <v>0</v>
      </c>
      <c r="G39" s="538">
        <f t="shared" si="4"/>
        <v>0</v>
      </c>
      <c r="H39" s="535">
        <f t="shared" si="0"/>
        <v>0</v>
      </c>
      <c r="I39" s="536">
        <f t="shared" si="1"/>
        <v>0</v>
      </c>
      <c r="J39" s="125"/>
      <c r="K39" s="259">
        <f>MAIN!F21+MAIN!E22+F39*O$5+25+IF(C39=0,VLOOKUP(F39,N$6:O$11,2)-40,F39*O$5+25)</f>
        <v>85</v>
      </c>
    </row>
    <row r="40" spans="1:11" ht="15.75">
      <c r="A40" s="125"/>
      <c r="B40" s="304"/>
      <c r="C40" s="537">
        <f>+C25</f>
        <v>0</v>
      </c>
      <c r="D40" s="537">
        <f>IF(C40=0,0,Bar!G440)</f>
        <v>0</v>
      </c>
      <c r="E40" s="538">
        <f t="shared" si="3"/>
        <v>0</v>
      </c>
      <c r="F40" s="538">
        <f>IF(C40=0,C40,SPANS!I113)</f>
        <v>0</v>
      </c>
      <c r="G40" s="538">
        <f t="shared" si="4"/>
        <v>0</v>
      </c>
      <c r="H40" s="535">
        <f t="shared" si="0"/>
        <v>0</v>
      </c>
      <c r="I40" s="536">
        <f t="shared" si="1"/>
        <v>0</v>
      </c>
      <c r="J40" s="125"/>
      <c r="K40" s="259">
        <f>1000*MAIN!C22-50-MAIN!E22-MAIN!F22</f>
        <v>-50</v>
      </c>
    </row>
    <row r="41" spans="1:11" ht="15.75">
      <c r="A41" s="125"/>
      <c r="B41" s="304"/>
      <c r="C41" s="537">
        <f>+C26</f>
        <v>0</v>
      </c>
      <c r="D41" s="537">
        <f>IF(C41=0,0,Bar!I455)</f>
        <v>0</v>
      </c>
      <c r="E41" s="538">
        <f t="shared" si="3"/>
        <v>0</v>
      </c>
      <c r="F41" s="538">
        <f>IF(C41=0,C41,SPANS!L113)</f>
        <v>0</v>
      </c>
      <c r="G41" s="538">
        <f t="shared" si="4"/>
        <v>0</v>
      </c>
      <c r="H41" s="535">
        <f t="shared" si="0"/>
        <v>0</v>
      </c>
      <c r="I41" s="536">
        <f t="shared" si="1"/>
        <v>0</v>
      </c>
      <c r="J41" s="125"/>
      <c r="K41" s="259">
        <f>MAIN!F22+MAIN!E23+F41*O$5+25+IF(C41=0,VLOOKUP(F41,N$6:O$11,2)-40,F41*O$5+25)</f>
        <v>85</v>
      </c>
    </row>
    <row r="42" spans="1:11" ht="15.75">
      <c r="A42" s="125"/>
      <c r="B42" s="304"/>
      <c r="C42" s="537">
        <f>+C28</f>
        <v>0</v>
      </c>
      <c r="D42" s="537">
        <f>IF(C42=0,0,Bar!G541)</f>
        <v>0</v>
      </c>
      <c r="E42" s="538">
        <f t="shared" si="3"/>
        <v>0</v>
      </c>
      <c r="F42" s="538">
        <f>IF(C42=0,C42,SPANS!I134)</f>
        <v>0</v>
      </c>
      <c r="G42" s="538">
        <f t="shared" si="4"/>
        <v>0</v>
      </c>
      <c r="H42" s="535">
        <f t="shared" si="0"/>
        <v>0</v>
      </c>
      <c r="I42" s="536">
        <f t="shared" si="1"/>
        <v>0</v>
      </c>
      <c r="J42" s="125"/>
      <c r="K42" s="259">
        <f>1000*MAIN!C23-50-MAIN!E23-MAIN!F23</f>
        <v>-50</v>
      </c>
    </row>
    <row r="43" spans="1:14" ht="15.75">
      <c r="A43" s="125"/>
      <c r="B43" s="304"/>
      <c r="C43" s="537">
        <f>+C29</f>
        <v>0</v>
      </c>
      <c r="D43" s="537">
        <f>IF(C43=0,0,Bar!I556)</f>
        <v>0</v>
      </c>
      <c r="E43" s="538">
        <f t="shared" si="3"/>
        <v>0</v>
      </c>
      <c r="F43" s="538">
        <f>IF(C43=0,C43,SPANS!L134)</f>
        <v>0</v>
      </c>
      <c r="G43" s="538">
        <f t="shared" si="4"/>
        <v>0</v>
      </c>
      <c r="H43" s="535">
        <f t="shared" si="0"/>
        <v>0</v>
      </c>
      <c r="I43" s="536">
        <f t="shared" si="1"/>
        <v>0</v>
      </c>
      <c r="J43" s="125"/>
      <c r="K43" s="259">
        <f>MAIN!F23-15+F43*O$5+VLOOKUP(F43,N$6:O$11,2)</f>
        <v>85</v>
      </c>
      <c r="N43" s="213"/>
    </row>
    <row r="44" spans="1:14" ht="15.75">
      <c r="A44" s="125"/>
      <c r="B44" s="362" t="s">
        <v>145</v>
      </c>
      <c r="C44" s="537" t="s">
        <v>142</v>
      </c>
      <c r="D44" s="537">
        <f>IF(MAIN!R4=MAIN!R1,Bar!E90/Bar!E89+IF(Bar!E85&gt;Bar!E86,1,0)+Bar!G90/Bar!G89+1+Bar!I90/Bar!I89+IF(Bar!I85&gt;Bar!I86,1,0),0)</f>
        <v>1</v>
      </c>
      <c r="E44" s="538" t="str">
        <f>IF(MAIN!R4=MAIN!R3,0,SPANS!O2)</f>
        <v>T</v>
      </c>
      <c r="F44" s="538">
        <f>SPANS!I21</f>
        <v>6</v>
      </c>
      <c r="G44" s="538">
        <f>IF(D44=0,0,CEILING(K44,25))</f>
        <v>800</v>
      </c>
      <c r="H44" s="535">
        <f t="shared" si="0"/>
        <v>0.2219535209761189</v>
      </c>
      <c r="I44" s="536">
        <f t="shared" si="1"/>
        <v>0.1775628167808951</v>
      </c>
      <c r="J44" s="125"/>
      <c r="K44" s="259">
        <f aca="true" t="shared" si="5" ref="K44:K49">L44+F44*O$5</f>
        <v>789.5</v>
      </c>
      <c r="L44" s="213">
        <f>Bar!I$8+2*(MAIN!D18-MAIN!J$11-MAIN!J$12)-2*MAIN!J$13-6*F44</f>
        <v>561.5</v>
      </c>
      <c r="N44" s="213"/>
    </row>
    <row r="45" spans="1:14" ht="15.75">
      <c r="A45" s="125"/>
      <c r="B45" s="365"/>
      <c r="C45" s="537" t="str">
        <f>C34</f>
        <v>Span 2</v>
      </c>
      <c r="D45" s="537">
        <f>IF(OR(C45=0,MAIN!R4=MAIN!R2),0,Bar!E180/Bar!E179+IF(Bar!E175&gt;Bar!E176,1,0)+Bar!G180/Bar!G179+1+Bar!I180/Bar!I179+IF(Bar!I175&gt;Bar!I176,1,0))</f>
        <v>10</v>
      </c>
      <c r="E45" s="538" t="str">
        <f>IF(D45=0,0,E44)</f>
        <v>T</v>
      </c>
      <c r="F45" s="538">
        <f>IF(E45=0,0,SPANS!I42)</f>
        <v>6</v>
      </c>
      <c r="G45" s="538">
        <f>IF(E45=0,0,CEILING(K45,25))</f>
        <v>800</v>
      </c>
      <c r="H45" s="535">
        <f t="shared" si="0"/>
        <v>0.2219535209761189</v>
      </c>
      <c r="I45" s="536">
        <f t="shared" si="1"/>
        <v>1.7756281678089512</v>
      </c>
      <c r="J45" s="159"/>
      <c r="K45" s="259">
        <f t="shared" si="5"/>
        <v>789.5</v>
      </c>
      <c r="L45" s="213">
        <f>Bar!I$8+2*(MAIN!D19-MAIN!J$11-MAIN!J$12)-2*MAIN!J$13-6*F45</f>
        <v>561.5</v>
      </c>
      <c r="N45" s="213"/>
    </row>
    <row r="46" spans="1:14" ht="15.75">
      <c r="A46" s="125"/>
      <c r="B46" s="304"/>
      <c r="C46" s="537" t="str">
        <f>C36</f>
        <v>Span 3</v>
      </c>
      <c r="D46" s="537">
        <f>IF(OR(C46=0,MAIN!R4=MAIN!R2),0,Bar!E287/Bar!E286+IF(Bar!E282&gt;Bar!E283,1,0)+Bar!G287/Bar!G286+1+Bar!I287/Bar!I286+IF(Bar!I282&gt;Bar!I283,1,0))</f>
        <v>9</v>
      </c>
      <c r="E46" s="538" t="str">
        <f>IF(D46=0,0,E45)</f>
        <v>T</v>
      </c>
      <c r="F46" s="538">
        <f>IF(E46=0,0,SPANS!I69)</f>
        <v>6</v>
      </c>
      <c r="G46" s="538">
        <f>IF(E46=0,0,CEILING(K46,25))</f>
        <v>800</v>
      </c>
      <c r="H46" s="535">
        <f t="shared" si="0"/>
        <v>0.2219535209761189</v>
      </c>
      <c r="I46" s="536">
        <f t="shared" si="1"/>
        <v>1.598065351028056</v>
      </c>
      <c r="J46" s="159"/>
      <c r="K46" s="259">
        <f t="shared" si="5"/>
        <v>789.5</v>
      </c>
      <c r="L46" s="213">
        <f>Bar!I$8+2*(MAIN!D20-MAIN!J$11-MAIN!J$12)-2*MAIN!J$13-6*F46</f>
        <v>561.5</v>
      </c>
      <c r="N46" s="213"/>
    </row>
    <row r="47" spans="1:14" ht="15.75">
      <c r="A47" s="125"/>
      <c r="B47" s="332"/>
      <c r="C47" s="537">
        <f>C38</f>
        <v>0</v>
      </c>
      <c r="D47" s="537">
        <f>IF(OR(C47=0,MAIN!R4=MAIN!R2),0,Bar!E380/Bar!E379+IF(Bar!E375&gt;Bar!E376,1,0)+Bar!G380/Bar!G379+1+Bar!I380/Bar!I379+IF(Bar!I376&gt;Bar!I377,1,0))</f>
        <v>0</v>
      </c>
      <c r="E47" s="538">
        <f>IF(D47=0,0,E46)</f>
        <v>0</v>
      </c>
      <c r="F47" s="538">
        <f>IF(E47=0,0,SPANS!I90)</f>
        <v>0</v>
      </c>
      <c r="G47" s="538">
        <f>IF(E47=0,0,CEILING(K47,25))</f>
        <v>0</v>
      </c>
      <c r="H47" s="535">
        <f t="shared" si="0"/>
        <v>0</v>
      </c>
      <c r="I47" s="536">
        <f t="shared" si="1"/>
        <v>0</v>
      </c>
      <c r="J47" s="159"/>
      <c r="K47" s="259">
        <f t="shared" si="5"/>
        <v>47.5</v>
      </c>
      <c r="L47" s="213">
        <f>Bar!I$8+2*(MAIN!D21-MAIN!J$11-MAIN!J$12)-2*MAIN!J$13-6*F47</f>
        <v>47.5</v>
      </c>
      <c r="N47" s="213"/>
    </row>
    <row r="48" spans="1:14" ht="15.75">
      <c r="A48" s="125"/>
      <c r="B48" s="332"/>
      <c r="C48" s="537">
        <f>C40</f>
        <v>0</v>
      </c>
      <c r="D48" s="537">
        <f>IF(OR(C48=0,MAIN!R4=MAIN!R2),0,Bar!E487/Bar!E486+IF(Bar!E482&gt;Bar!E483,1,0)+Bar!G487/Bar!G486+1+Bar!I487/Bar!I486+IF(Bar!I482&gt;Bar!I483,1,0))</f>
        <v>0</v>
      </c>
      <c r="E48" s="538">
        <f>IF(D48=0,0,E47)</f>
        <v>0</v>
      </c>
      <c r="F48" s="538">
        <f>IF(E48=0,0,SPANS!I117)</f>
        <v>0</v>
      </c>
      <c r="G48" s="538">
        <f>IF(E48=0,0,CEILING(K48,25))</f>
        <v>0</v>
      </c>
      <c r="H48" s="535">
        <f t="shared" si="0"/>
        <v>0</v>
      </c>
      <c r="I48" s="536">
        <f t="shared" si="1"/>
        <v>0</v>
      </c>
      <c r="J48" s="159"/>
      <c r="K48" s="259">
        <f t="shared" si="5"/>
        <v>47.5</v>
      </c>
      <c r="L48" s="213">
        <f>Bar!I$8+2*(MAIN!D22-MAIN!J$11-MAIN!J$12)-2*MAIN!J$13-6*F48</f>
        <v>47.5</v>
      </c>
      <c r="N48" s="213"/>
    </row>
    <row r="49" spans="1:14" ht="15.75">
      <c r="A49" s="125"/>
      <c r="B49" s="332"/>
      <c r="C49" s="537">
        <f>C42</f>
        <v>0</v>
      </c>
      <c r="D49" s="537">
        <f>IF(OR(C49=0,MAIN!R4=MAIN!R2),0,Bar!E579/Bar!E578+IF(Bar!E574&gt;Bar!E575,1,0)+Bar!G579/Bar!G578+1+Bar!I579/Bar!I578+IF(Bar!I574&gt;Bar!I575,1,0))</f>
        <v>0</v>
      </c>
      <c r="E49" s="538">
        <f>IF(D49=0,0,E48)</f>
        <v>0</v>
      </c>
      <c r="F49" s="538">
        <f>IF(E49=0,0,SPANS!I138)</f>
        <v>0</v>
      </c>
      <c r="G49" s="538">
        <f>IF(E49=0,0,CEILING(K49,25))</f>
        <v>0</v>
      </c>
      <c r="H49" s="535">
        <f t="shared" si="0"/>
        <v>0</v>
      </c>
      <c r="I49" s="536">
        <f t="shared" si="1"/>
        <v>0</v>
      </c>
      <c r="J49" s="159"/>
      <c r="K49" s="259">
        <f t="shared" si="5"/>
        <v>47.5</v>
      </c>
      <c r="L49" s="213">
        <f>Bar!I$8+2*(MAIN!D23-MAIN!J$11-MAIN!J$12)-2*MAIN!J$13-6*F49</f>
        <v>47.5</v>
      </c>
      <c r="N49" s="213"/>
    </row>
    <row r="50" spans="1:11" ht="15.75" customHeight="1">
      <c r="A50" s="125"/>
      <c r="B50" s="714" t="s">
        <v>146</v>
      </c>
      <c r="C50" s="713" t="s">
        <v>432</v>
      </c>
      <c r="D50" s="293"/>
      <c r="E50" s="331"/>
      <c r="F50" s="331"/>
      <c r="G50" s="293"/>
      <c r="H50" s="330"/>
      <c r="I50" s="363"/>
      <c r="J50" s="159"/>
      <c r="K50" s="213">
        <f>IF(L1=1,MAIN!F18,IF(L1=2,MAIN!F19,IF(L1=3,MAIN!F20,IF(L1=4,MAIN!F21,IF(L1=5,MAIN!F22,MAIN!F23)))))</f>
        <v>450</v>
      </c>
    </row>
    <row r="51" spans="1:13" ht="18.75" customHeight="1" thickBot="1">
      <c r="A51" s="125"/>
      <c r="B51" s="366"/>
      <c r="C51" s="367"/>
      <c r="D51" s="367" t="s">
        <v>147</v>
      </c>
      <c r="E51" s="368">
        <f>I51/L51</f>
        <v>12.477602065233672</v>
      </c>
      <c r="F51" s="369"/>
      <c r="G51" s="370"/>
      <c r="H51" s="367" t="s">
        <v>377</v>
      </c>
      <c r="I51" s="371">
        <f>SUM(I11:I49)</f>
        <v>195.3992483415593</v>
      </c>
      <c r="J51" s="715" t="s">
        <v>148</v>
      </c>
      <c r="K51" s="261" t="s">
        <v>149</v>
      </c>
      <c r="L51" s="224">
        <f>(SUM(MAIN!C18:C23)+(MAIN!E18+K50)/1000)*MAIN!J17/1000</f>
        <v>15.659999999999998</v>
      </c>
      <c r="M51" s="262" t="s">
        <v>150</v>
      </c>
    </row>
    <row r="52" spans="1:10" ht="19.5" thickTop="1">
      <c r="A52" s="124"/>
      <c r="B52" s="124"/>
      <c r="C52" s="124"/>
      <c r="D52" s="124"/>
      <c r="E52" s="124"/>
      <c r="F52" s="124"/>
      <c r="G52" s="124"/>
      <c r="H52" s="124"/>
      <c r="I52" s="124"/>
      <c r="J52" s="124"/>
    </row>
  </sheetData>
  <sheetProtection sheet="1" objects="1" scenarios="1"/>
  <mergeCells count="1">
    <mergeCell ref="G2:I2"/>
  </mergeCells>
  <printOptions horizontalCentered="1"/>
  <pageMargins left="0.6299212598425197" right="0.3937007874015748" top="0.4724409448818898" bottom="0.4724409448818898" header="0" footer="0"/>
  <pageSetup fitToHeight="1" fitToWidth="1" horizontalDpi="300" verticalDpi="300" orientation="portrait" paperSize="9" scale="79"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X303"/>
  <sheetViews>
    <sheetView showGridLines="0" zoomScale="75" zoomScaleNormal="75" workbookViewId="0" topLeftCell="A1">
      <selection activeCell="A1" sqref="A1"/>
    </sheetView>
  </sheetViews>
  <sheetFormatPr defaultColWidth="9.140625" defaultRowHeight="12.75"/>
  <cols>
    <col min="1" max="1" width="4.421875" style="0" customWidth="1"/>
    <col min="2" max="2" width="16.421875" style="0" customWidth="1"/>
    <col min="4" max="5" width="11.28125" style="0" bestFit="1" customWidth="1"/>
    <col min="6" max="6" width="10.140625" style="0" bestFit="1" customWidth="1"/>
    <col min="7" max="13" width="11.28125" style="0" bestFit="1" customWidth="1"/>
    <col min="15" max="15" width="3.7109375" style="0" customWidth="1"/>
  </cols>
  <sheetData>
    <row r="1" spans="1:15" ht="13.5" thickBot="1">
      <c r="A1" s="375"/>
      <c r="B1" s="375"/>
      <c r="C1" s="375"/>
      <c r="D1" s="375"/>
      <c r="E1" s="375"/>
      <c r="F1" s="375"/>
      <c r="G1" s="375"/>
      <c r="H1" s="375"/>
      <c r="I1" s="375"/>
      <c r="J1" s="375"/>
      <c r="K1" s="375"/>
      <c r="L1" s="375"/>
      <c r="M1" s="375"/>
      <c r="N1" s="375"/>
      <c r="O1" s="375"/>
    </row>
    <row r="2" spans="1:15" ht="18">
      <c r="A2" s="375"/>
      <c r="B2" s="539" t="str">
        <f>MAIN!B2</f>
        <v> Project</v>
      </c>
      <c r="C2" s="540" t="str">
        <f>MAIN!C2</f>
        <v>Spreadsheets to BS 8110</v>
      </c>
      <c r="D2" s="542"/>
      <c r="E2" s="542"/>
      <c r="F2" s="542"/>
      <c r="G2" s="541"/>
      <c r="H2" s="541"/>
      <c r="I2" s="541"/>
      <c r="J2" s="541"/>
      <c r="K2" s="542"/>
      <c r="L2" s="542"/>
      <c r="M2" s="542"/>
      <c r="N2" s="615"/>
      <c r="O2" s="375"/>
    </row>
    <row r="3" spans="1:24" ht="18">
      <c r="A3" s="375"/>
      <c r="B3" s="543" t="str">
        <f>MAIN!B4</f>
        <v> Location</v>
      </c>
      <c r="C3" s="544" t="str">
        <f>ACTIONS!$C$4</f>
        <v>3rd Floor slab,  from 1 to 5a</v>
      </c>
      <c r="D3" s="545"/>
      <c r="E3" s="545"/>
      <c r="F3" s="545"/>
      <c r="G3" s="122"/>
      <c r="H3" s="122"/>
      <c r="I3" s="717" t="s">
        <v>401</v>
      </c>
      <c r="J3" s="122"/>
      <c r="K3" s="122"/>
      <c r="L3" s="545"/>
      <c r="M3" s="545"/>
      <c r="N3" s="616"/>
      <c r="O3" s="375"/>
      <c r="P3" s="122"/>
      <c r="Q3" s="122"/>
      <c r="R3" s="122"/>
      <c r="S3" s="122"/>
      <c r="T3" s="122"/>
      <c r="U3" s="122"/>
      <c r="V3" s="122"/>
      <c r="W3" s="122"/>
      <c r="X3" s="122"/>
    </row>
    <row r="4" spans="1:15" ht="12.75">
      <c r="A4" s="375"/>
      <c r="B4" s="546"/>
      <c r="C4" s="547" t="str">
        <f>MAIN!C5</f>
        <v>RIBBED SLABS to BS 8110:1997 (Analysis &amp; Design)</v>
      </c>
      <c r="D4" s="545"/>
      <c r="E4" s="545"/>
      <c r="F4" s="545"/>
      <c r="G4" s="122"/>
      <c r="H4" s="122"/>
      <c r="I4" s="122"/>
      <c r="J4" s="122"/>
      <c r="K4" s="545"/>
      <c r="L4" s="122"/>
      <c r="M4" s="548" t="str">
        <f>ACTIONS!$I$3&amp;"  "&amp;ACTIONS!$I$4&amp;"    "&amp;ACTIONS!$K$5&amp;"  "&amp;ACTIONS!K6</f>
        <v>Made by  rmw    Job No  R68</v>
      </c>
      <c r="N4" s="616"/>
      <c r="O4" s="375"/>
    </row>
    <row r="5" spans="1:15" ht="13.5" thickBot="1">
      <c r="A5" s="375"/>
      <c r="B5" s="549"/>
      <c r="C5" s="550" t="str">
        <f>MAIN!D6&amp;MAIN!E6</f>
        <v>Originated from  RCC32.xls v2.2 on CD               © 2000-2003 BCA for RCC</v>
      </c>
      <c r="D5" s="552"/>
      <c r="E5" s="552"/>
      <c r="F5" s="552"/>
      <c r="G5" s="551"/>
      <c r="H5" s="551"/>
      <c r="I5" s="551"/>
      <c r="J5" s="551"/>
      <c r="K5" s="552"/>
      <c r="L5" s="553" t="str">
        <f>MAIN!J3</f>
        <v> Date</v>
      </c>
      <c r="M5" s="826">
        <f>MAIN!J4</f>
        <v>39305</v>
      </c>
      <c r="N5" s="827"/>
      <c r="O5" s="375"/>
    </row>
    <row r="6" spans="1:15" ht="12.75">
      <c r="A6" s="375"/>
      <c r="B6" s="545"/>
      <c r="C6" s="554"/>
      <c r="D6" s="545"/>
      <c r="E6" s="545"/>
      <c r="F6" s="545"/>
      <c r="G6" s="122"/>
      <c r="H6" s="122"/>
      <c r="I6" s="122"/>
      <c r="J6" s="122"/>
      <c r="K6" s="545"/>
      <c r="L6" s="548"/>
      <c r="M6" s="555"/>
      <c r="N6" s="555"/>
      <c r="O6" s="375"/>
    </row>
    <row r="7" spans="1:15" ht="18">
      <c r="A7" s="375"/>
      <c r="B7" s="716" t="s">
        <v>151</v>
      </c>
      <c r="C7" s="8"/>
      <c r="D7" s="24">
        <v>1</v>
      </c>
      <c r="E7" s="25">
        <v>2</v>
      </c>
      <c r="F7" s="25">
        <v>3</v>
      </c>
      <c r="G7" s="25">
        <v>4</v>
      </c>
      <c r="H7" s="25">
        <v>5</v>
      </c>
      <c r="I7" s="31">
        <v>6</v>
      </c>
      <c r="O7" s="375"/>
    </row>
    <row r="8" spans="1:15" ht="15.75">
      <c r="A8" s="375"/>
      <c r="B8" s="21" t="s">
        <v>152</v>
      </c>
      <c r="C8" s="6"/>
      <c r="D8" s="39">
        <f>(MAIN!$D18-MAIN!$J15)/MAIN!$J18+MAIN!$J16</f>
        <v>167.5</v>
      </c>
      <c r="E8" s="40">
        <f>(MAIN!$D19-MAIN!$J15)/MAIN!$J18+MAIN!$J16</f>
        <v>167.5</v>
      </c>
      <c r="F8" s="40">
        <f>(MAIN!$D20-MAIN!$J15)/MAIN!$J18+MAIN!$J16</f>
        <v>167.5</v>
      </c>
      <c r="G8" s="40">
        <f>(MAIN!$D21-MAIN!$J15)/MAIN!$J18+MAIN!$J16</f>
        <v>140</v>
      </c>
      <c r="H8" s="40">
        <f>(MAIN!$D22-MAIN!$J15)/MAIN!$J18+MAIN!$J16</f>
        <v>140</v>
      </c>
      <c r="I8" s="41">
        <f>(MAIN!$D23-MAIN!$J15)/MAIN!$J18+MAIN!$J16</f>
        <v>140</v>
      </c>
      <c r="J8" s="35" t="s">
        <v>13</v>
      </c>
      <c r="O8" s="375"/>
    </row>
    <row r="9" spans="1:15" ht="15.75">
      <c r="A9" s="375"/>
      <c r="B9" s="21" t="s">
        <v>153</v>
      </c>
      <c r="C9" s="6"/>
      <c r="D9" s="42">
        <f>(D8*(MAIN!$D18-MAIN!$J15)+MAIN!$J15*MAIN!$J17)/1000000</f>
        <v>0.1193125</v>
      </c>
      <c r="E9" s="43">
        <f>(E8*(MAIN!$D19-MAIN!$J15)+MAIN!$J15*MAIN!$J17)/1000000</f>
        <v>0.1193125</v>
      </c>
      <c r="F9" s="43">
        <f>(F8*(MAIN!$D20-MAIN!$J15)+MAIN!$J15*MAIN!$J17)/1000000</f>
        <v>0.1193125</v>
      </c>
      <c r="G9" s="43">
        <f>(G8*(MAIN!$D21-MAIN!$J15)+MAIN!$J15*MAIN!$J17)/1000000</f>
        <v>0.076</v>
      </c>
      <c r="H9" s="43">
        <f>(H8*(MAIN!$D22-MAIN!$J15)+MAIN!$J15*MAIN!$J17)/1000000</f>
        <v>0.076</v>
      </c>
      <c r="I9" s="44">
        <f>(I8*(MAIN!$D23-MAIN!$J15)+MAIN!$J15*MAIN!$J17)/1000000</f>
        <v>0.076</v>
      </c>
      <c r="J9" s="35" t="s">
        <v>109</v>
      </c>
      <c r="O9" s="375"/>
    </row>
    <row r="10" spans="1:15" ht="16.5">
      <c r="A10" s="375"/>
      <c r="B10" s="21" t="s">
        <v>154</v>
      </c>
      <c r="C10" s="9"/>
      <c r="D10" s="42">
        <f>MAIN!$C14*D9*1000/MAIN!$J17</f>
        <v>3.1286388888888896</v>
      </c>
      <c r="E10" s="43">
        <f>MAIN!$C14*E9*1000/MAIN!$J17</f>
        <v>3.1286388888888896</v>
      </c>
      <c r="F10" s="43">
        <f>MAIN!$C14*F9*1000/MAIN!$J17</f>
        <v>3.1286388888888896</v>
      </c>
      <c r="G10" s="43">
        <f>MAIN!$C14*G9*1000/MAIN!$J17</f>
        <v>1.992888888888889</v>
      </c>
      <c r="H10" s="43">
        <f>MAIN!$C14*H9*1000/MAIN!$J17</f>
        <v>1.992888888888889</v>
      </c>
      <c r="I10" s="44">
        <f>MAIN!$C14*I9*1000/MAIN!$J17</f>
        <v>1.992888888888889</v>
      </c>
      <c r="J10" s="35" t="s">
        <v>155</v>
      </c>
      <c r="O10" s="375"/>
    </row>
    <row r="11" spans="1:15" ht="16.5">
      <c r="A11" s="375"/>
      <c r="B11" s="21" t="s">
        <v>156</v>
      </c>
      <c r="C11" s="9"/>
      <c r="D11" s="42">
        <f>MAIN!$C14*MAIN!$D18/1000-D10</f>
        <v>3.3613611111111106</v>
      </c>
      <c r="E11" s="43">
        <f>MAIN!$C14*MAIN!$D19/1000-E10</f>
        <v>3.3613611111111106</v>
      </c>
      <c r="F11" s="43">
        <f>MAIN!$C14*MAIN!$D20/1000-F10</f>
        <v>3.3613611111111106</v>
      </c>
      <c r="G11" s="43">
        <f>MAIN!$C14*MAIN!$D21/1000-G10</f>
        <v>-1.992888888888889</v>
      </c>
      <c r="H11" s="43">
        <f>MAIN!$C14*MAIN!$D22/1000-H10</f>
        <v>-1.992888888888889</v>
      </c>
      <c r="I11" s="44">
        <f>MAIN!$C14*MAIN!$D23/1000-I10</f>
        <v>-1.992888888888889</v>
      </c>
      <c r="J11" s="35" t="s">
        <v>155</v>
      </c>
      <c r="L11" s="3"/>
      <c r="O11" s="375"/>
    </row>
    <row r="12" spans="1:15" ht="15.75">
      <c r="A12" s="375"/>
      <c r="B12" s="21" t="s">
        <v>157</v>
      </c>
      <c r="C12" s="10"/>
      <c r="D12" s="51">
        <f>IF(MAIN!$C18*1000-MAIN!$E18-MAIN!$F18&gt;60*MAIN!$J16,D11*D8/1000/MAIN!$C18,0)</f>
        <v>0</v>
      </c>
      <c r="E12" s="48">
        <f>IF(MAIN!$C19*1000-MAIN!$E19-MAIN!$F19&gt;60*MAIN!$J16,E11*E8/1000/MAIN!$C19,0)</f>
        <v>0</v>
      </c>
      <c r="F12" s="48">
        <f>IF(MAIN!$C20*1000-MAIN!$E20-MAIN!$F20&gt;60*MAIN!$J16,F11*F8/1000/MAIN!$C20,0)</f>
        <v>0</v>
      </c>
      <c r="G12" s="48">
        <f>IF(MAIN!$C21*1000-MAIN!$E21-MAIN!$F21&gt;60*MAIN!$J16,G11*G8/1000/MAIN!$C21,0)</f>
        <v>0</v>
      </c>
      <c r="H12" s="48">
        <f>IF(MAIN!$C22*1000-MAIN!$E22-MAIN!$F22&gt;60*MAIN!$J16,H11*H8/1000/MAIN!$C22,0)</f>
        <v>0</v>
      </c>
      <c r="I12" s="37">
        <f>IF(MAIN!$C23*1000-MAIN!$E23-MAIN!$F23&gt;60*MAIN!$J16,I11*I8/1000/MAIN!$C23,0)</f>
        <v>0</v>
      </c>
      <c r="J12" s="35" t="s">
        <v>155</v>
      </c>
      <c r="O12" s="375"/>
    </row>
    <row r="13" spans="1:15" ht="15">
      <c r="A13" s="375"/>
      <c r="B13" s="21" t="s">
        <v>333</v>
      </c>
      <c r="D13" s="51">
        <f>(MAIN!$E18+MAIN!$F18)/(MAIN!$C18*1000)*D11</f>
        <v>2.605054861111111</v>
      </c>
      <c r="E13" s="52">
        <f>(MAIN!$E19+MAIN!$F19)/(MAIN!$C19*1000)*E11</f>
        <v>1.0564277777777775</v>
      </c>
      <c r="F13" s="52">
        <f>(MAIN!$E20+MAIN!$F20)/(MAIN!$C20*1000)*F11</f>
        <v>0.6946812962962962</v>
      </c>
      <c r="G13" s="52" t="e">
        <f>(MAIN!$E21+MAIN!$F21)/(MAIN!$C21*1000)*G11</f>
        <v>#DIV/0!</v>
      </c>
      <c r="H13" s="52" t="e">
        <f>(MAIN!$E22+MAIN!$F22)/(MAIN!$C22*1000)*H11</f>
        <v>#DIV/0!</v>
      </c>
      <c r="I13" s="37" t="e">
        <f>(MAIN!$E23+MAIN!$F23)/(MAIN!$C23*1000)*I11</f>
        <v>#DIV/0!</v>
      </c>
      <c r="J13" s="35" t="s">
        <v>155</v>
      </c>
      <c r="O13" s="375"/>
    </row>
    <row r="14" spans="1:15" ht="15.75">
      <c r="A14" s="375"/>
      <c r="B14" s="21" t="s">
        <v>158</v>
      </c>
      <c r="C14" s="10"/>
      <c r="D14" s="53">
        <f>D10+D12+D13</f>
        <v>5.7336937500000005</v>
      </c>
      <c r="E14" s="54">
        <f>IF(MAIN!$C19=0,0,E10+E12+E13)</f>
        <v>4.185066666666668</v>
      </c>
      <c r="F14" s="54">
        <f>IF(MAIN!$C20=0,0,F10+F12+F13)</f>
        <v>3.8233201851851857</v>
      </c>
      <c r="G14" s="54">
        <f>IF(MAIN!$C21=0,0,G10+G12+G13)</f>
        <v>0</v>
      </c>
      <c r="H14" s="54">
        <f>IF(MAIN!$C22=0,0,H10+H12+H13)</f>
        <v>0</v>
      </c>
      <c r="I14" s="55">
        <f>IF(MAIN!$C23=0,0,I10+I12+I13)</f>
        <v>0</v>
      </c>
      <c r="J14" s="35" t="s">
        <v>155</v>
      </c>
      <c r="O14" s="375"/>
    </row>
    <row r="15" spans="1:15" ht="18">
      <c r="A15" s="375"/>
      <c r="B15" s="718" t="s">
        <v>159</v>
      </c>
      <c r="C15" s="11"/>
      <c r="O15" s="375"/>
    </row>
    <row r="16" spans="1:15" ht="15">
      <c r="A16" s="375"/>
      <c r="B16" s="26" t="s">
        <v>160</v>
      </c>
      <c r="C16" s="56">
        <f>MAIN!H41</f>
        <v>1</v>
      </c>
      <c r="D16" s="38" t="s">
        <v>161</v>
      </c>
      <c r="E16" s="38"/>
      <c r="F16" s="38"/>
      <c r="O16" s="375"/>
    </row>
    <row r="17" spans="1:17" ht="16.5">
      <c r="A17" s="375"/>
      <c r="B17" s="26" t="s">
        <v>162</v>
      </c>
      <c r="C17" s="56">
        <f>MAIN!I41-C16</f>
        <v>0.3999999999999999</v>
      </c>
      <c r="D17" s="38" t="s">
        <v>163</v>
      </c>
      <c r="E17" s="57"/>
      <c r="F17" s="56">
        <f>MAIN!I42</f>
        <v>1.6</v>
      </c>
      <c r="G17" s="38" t="s">
        <v>164</v>
      </c>
      <c r="H17" s="38"/>
      <c r="I17" s="58" t="s">
        <v>165</v>
      </c>
      <c r="J17" s="12"/>
      <c r="L17" s="13"/>
      <c r="M17" s="13"/>
      <c r="O17" s="375"/>
      <c r="P17" s="13"/>
      <c r="Q17" s="13"/>
    </row>
    <row r="18" spans="1:17" ht="15.75">
      <c r="A18" s="375"/>
      <c r="E18" s="13"/>
      <c r="F18" s="7"/>
      <c r="L18" s="13"/>
      <c r="O18" s="375"/>
      <c r="P18" s="13"/>
      <c r="Q18" s="13"/>
    </row>
    <row r="19" spans="1:15" ht="15">
      <c r="A19" s="375"/>
      <c r="B19" s="123" t="s">
        <v>166</v>
      </c>
      <c r="O19" s="375"/>
    </row>
    <row r="20" spans="1:15" ht="19.5">
      <c r="A20" s="375"/>
      <c r="B20" s="14"/>
      <c r="C20" s="59" t="s">
        <v>167</v>
      </c>
      <c r="D20" s="22" t="s">
        <v>168</v>
      </c>
      <c r="E20" s="23"/>
      <c r="F20" s="22" t="s">
        <v>169</v>
      </c>
      <c r="G20" s="23"/>
      <c r="H20" s="22" t="s">
        <v>170</v>
      </c>
      <c r="I20" s="23"/>
      <c r="J20" s="22" t="s">
        <v>171</v>
      </c>
      <c r="K20" s="23"/>
      <c r="L20" s="22" t="s">
        <v>172</v>
      </c>
      <c r="M20" s="23"/>
      <c r="N20" s="59" t="s">
        <v>173</v>
      </c>
      <c r="O20" s="375"/>
    </row>
    <row r="21" spans="1:15" ht="19.5">
      <c r="A21" s="375"/>
      <c r="B21" s="14"/>
      <c r="C21" s="60" t="s">
        <v>174</v>
      </c>
      <c r="D21" s="61" t="s">
        <v>175</v>
      </c>
      <c r="E21" s="62" t="s">
        <v>174</v>
      </c>
      <c r="F21" s="61" t="s">
        <v>175</v>
      </c>
      <c r="G21" s="62" t="s">
        <v>174</v>
      </c>
      <c r="H21" s="61" t="s">
        <v>175</v>
      </c>
      <c r="I21" s="62" t="s">
        <v>174</v>
      </c>
      <c r="J21" s="61" t="s">
        <v>175</v>
      </c>
      <c r="K21" s="62" t="s">
        <v>174</v>
      </c>
      <c r="L21" s="61" t="s">
        <v>175</v>
      </c>
      <c r="M21" s="62" t="s">
        <v>174</v>
      </c>
      <c r="N21" s="60" t="s">
        <v>175</v>
      </c>
      <c r="O21" s="375"/>
    </row>
    <row r="22" spans="1:18" ht="15.75">
      <c r="A22" s="375"/>
      <c r="B22" s="48" t="s">
        <v>176</v>
      </c>
      <c r="C22" s="63"/>
      <c r="D22" s="64">
        <f>MAIN!J15*MAIN!J17</f>
        <v>90000</v>
      </c>
      <c r="E22" s="65">
        <f>D22</f>
        <v>90000</v>
      </c>
      <c r="F22" s="64"/>
      <c r="G22" s="65">
        <f>E22</f>
        <v>90000</v>
      </c>
      <c r="H22" s="64"/>
      <c r="I22" s="65">
        <f>G22</f>
        <v>90000</v>
      </c>
      <c r="J22" s="64"/>
      <c r="K22" s="65">
        <f>I22</f>
        <v>90000</v>
      </c>
      <c r="L22" s="64"/>
      <c r="M22" s="65">
        <f>K22</f>
        <v>90000</v>
      </c>
      <c r="N22" s="63"/>
      <c r="O22" s="375"/>
      <c r="Q22" s="5"/>
      <c r="R22" s="5"/>
    </row>
    <row r="23" spans="1:18" ht="15.75">
      <c r="A23" s="375"/>
      <c r="B23" s="48" t="s">
        <v>177</v>
      </c>
      <c r="C23" s="66"/>
      <c r="D23" s="67">
        <f>MAIN!$D18-MAIN!$J15</f>
        <v>175</v>
      </c>
      <c r="E23" s="68">
        <f>MAIN!$D19-MAIN!$J15</f>
        <v>175</v>
      </c>
      <c r="F23" s="67"/>
      <c r="G23" s="68">
        <f>MAIN!$D20-MAIN!$J15</f>
        <v>175</v>
      </c>
      <c r="H23" s="67"/>
      <c r="I23" s="68">
        <f>MAIN!$D21-MAIN!$J15</f>
        <v>-100</v>
      </c>
      <c r="J23" s="67"/>
      <c r="K23" s="68">
        <f>MAIN!$D22-MAIN!$J15</f>
        <v>-100</v>
      </c>
      <c r="L23" s="67"/>
      <c r="M23" s="68">
        <f>MAIN!$D23-MAIN!$J15</f>
        <v>-100</v>
      </c>
      <c r="N23" s="66"/>
      <c r="O23" s="375"/>
      <c r="Q23" s="5"/>
      <c r="R23" s="5"/>
    </row>
    <row r="24" spans="1:18" ht="15.75">
      <c r="A24" s="375"/>
      <c r="B24" s="48" t="s">
        <v>178</v>
      </c>
      <c r="C24" s="66"/>
      <c r="D24" s="67">
        <f>D23*MAIN!$J16</f>
        <v>26250</v>
      </c>
      <c r="E24" s="68">
        <f>E23*MAIN!$J16</f>
        <v>26250</v>
      </c>
      <c r="F24" s="67"/>
      <c r="G24" s="68">
        <f>G23*MAIN!$J16</f>
        <v>26250</v>
      </c>
      <c r="H24" s="67"/>
      <c r="I24" s="68">
        <f>I23*MAIN!$J16</f>
        <v>-15000</v>
      </c>
      <c r="J24" s="67"/>
      <c r="K24" s="68">
        <f>K23*MAIN!$J16</f>
        <v>-15000</v>
      </c>
      <c r="L24" s="67"/>
      <c r="M24" s="68">
        <f>M23*MAIN!$J16</f>
        <v>-15000</v>
      </c>
      <c r="N24" s="66"/>
      <c r="O24" s="375"/>
      <c r="Q24" s="5"/>
      <c r="R24" s="5"/>
    </row>
    <row r="25" spans="1:18" ht="15.75">
      <c r="A25" s="375"/>
      <c r="B25" s="48" t="s">
        <v>179</v>
      </c>
      <c r="C25" s="66"/>
      <c r="D25" s="67">
        <f>D23^2/5</f>
        <v>6125</v>
      </c>
      <c r="E25" s="68">
        <f>E23^2/5</f>
        <v>6125</v>
      </c>
      <c r="F25" s="67"/>
      <c r="G25" s="68">
        <f>G23^2/5</f>
        <v>6125</v>
      </c>
      <c r="H25" s="67"/>
      <c r="I25" s="68">
        <f>I23^2/5</f>
        <v>2000</v>
      </c>
      <c r="J25" s="67"/>
      <c r="K25" s="68">
        <f>K23^2/5</f>
        <v>2000</v>
      </c>
      <c r="L25" s="67"/>
      <c r="M25" s="68">
        <f>M23^2/5</f>
        <v>2000</v>
      </c>
      <c r="N25" s="66"/>
      <c r="O25" s="375"/>
      <c r="Q25" s="5"/>
      <c r="R25" s="5"/>
    </row>
    <row r="26" spans="1:18" ht="15.75">
      <c r="A26" s="375"/>
      <c r="B26" s="36" t="s">
        <v>180</v>
      </c>
      <c r="C26" s="66"/>
      <c r="D26" s="67">
        <f>D22+D24+D25</f>
        <v>122375</v>
      </c>
      <c r="E26" s="68">
        <f>E22+E24+E25</f>
        <v>122375</v>
      </c>
      <c r="F26" s="67"/>
      <c r="G26" s="68">
        <f>G22+G24+G25</f>
        <v>122375</v>
      </c>
      <c r="H26" s="67"/>
      <c r="I26" s="68">
        <f>I22+I24+I25</f>
        <v>77000</v>
      </c>
      <c r="J26" s="67"/>
      <c r="K26" s="68">
        <f>K22+K24+K25</f>
        <v>77000</v>
      </c>
      <c r="L26" s="67"/>
      <c r="M26" s="68">
        <f>M22+M24+M25</f>
        <v>77000</v>
      </c>
      <c r="N26" s="66"/>
      <c r="O26" s="375"/>
      <c r="Q26" s="5"/>
      <c r="R26" s="5"/>
    </row>
    <row r="27" spans="1:18" ht="15.75">
      <c r="A27" s="375"/>
      <c r="B27" s="36" t="s">
        <v>181</v>
      </c>
      <c r="C27" s="66"/>
      <c r="D27" s="67">
        <f>MAIN!$J15/2*D22+(MAIN!$J15+D23/2)*D24+(MAIN!$J15+D23/3)*D25</f>
        <v>10391666.666666666</v>
      </c>
      <c r="E27" s="68">
        <f>MAIN!$J15/2*E22+(MAIN!$J15+E23/2)*E24+(MAIN!$J15+E23/3)*E25</f>
        <v>10391666.666666666</v>
      </c>
      <c r="F27" s="67"/>
      <c r="G27" s="68">
        <f>MAIN!$J15/2*G22+(MAIN!$J15+G23/2)*G24+(MAIN!$J15+G23/3)*G25</f>
        <v>10391666.666666666</v>
      </c>
      <c r="H27" s="67"/>
      <c r="I27" s="68">
        <f>MAIN!$J15/2*I22+(MAIN!$J15+I23/2)*I24+(MAIN!$J15+I23/3)*I25</f>
        <v>3883333.3333333335</v>
      </c>
      <c r="J27" s="67"/>
      <c r="K27" s="68">
        <f>MAIN!$J15/2*K22+(MAIN!$J15+K23/2)*K24+(MAIN!$J15+K23/3)*K25</f>
        <v>3883333.3333333335</v>
      </c>
      <c r="L27" s="67"/>
      <c r="M27" s="68">
        <f>MAIN!$J15/2*M22+(MAIN!$J15+M23/2)*M24+(MAIN!$J15+M23/3)*M25</f>
        <v>3883333.3333333335</v>
      </c>
      <c r="N27" s="66"/>
      <c r="O27" s="375"/>
      <c r="Q27" s="5"/>
      <c r="R27" s="5"/>
    </row>
    <row r="28" spans="1:18" ht="15.75">
      <c r="A28" s="375"/>
      <c r="B28" s="36" t="s">
        <v>182</v>
      </c>
      <c r="C28" s="66"/>
      <c r="D28" s="67">
        <f>D27/D26</f>
        <v>84.91658154579503</v>
      </c>
      <c r="E28" s="68">
        <f>E27/E26</f>
        <v>84.91658154579503</v>
      </c>
      <c r="F28" s="67"/>
      <c r="G28" s="68">
        <f>G27/G26</f>
        <v>84.91658154579503</v>
      </c>
      <c r="H28" s="67"/>
      <c r="I28" s="68">
        <f>I27/I26</f>
        <v>50.43290043290043</v>
      </c>
      <c r="J28" s="67"/>
      <c r="K28" s="68">
        <f>K27/K26</f>
        <v>50.43290043290043</v>
      </c>
      <c r="L28" s="67"/>
      <c r="M28" s="68">
        <f>M27/M26</f>
        <v>50.43290043290043</v>
      </c>
      <c r="N28" s="66"/>
      <c r="O28" s="375"/>
      <c r="Q28" s="5"/>
      <c r="R28" s="5"/>
    </row>
    <row r="29" spans="1:18" ht="15.75">
      <c r="A29" s="375"/>
      <c r="B29" s="36" t="s">
        <v>183</v>
      </c>
      <c r="C29" s="66"/>
      <c r="D29" s="67">
        <f>(MAIN!$J15/2-D28)^2*D22+(MAIN!$J15+D23/2-D28)^2*D24+(MAIN!$J15+D23/3)^2*D25</f>
        <v>539513577.9591472</v>
      </c>
      <c r="E29" s="68">
        <f>(MAIN!$J15/2-E28)^2*E22+(MAIN!$J15+E23/2-E28)^2*E24+(MAIN!$J15+E23/3)^2*E25</f>
        <v>539513577.9591472</v>
      </c>
      <c r="F29" s="67"/>
      <c r="G29" s="68">
        <f>(MAIN!$J15/2-G28)^2*G22+(MAIN!$J15+G23/2-G28)^2*G24+(MAIN!$J15+G23/3)^2*G25</f>
        <v>539513577.9591472</v>
      </c>
      <c r="H29" s="67"/>
      <c r="I29" s="68">
        <f>(MAIN!$J15/2-I28)^2*I22+(MAIN!$J15+I23/2-I28)^2*I24+(MAIN!$J15+I23/3)^2*I25</f>
        <v>8902944.09774929</v>
      </c>
      <c r="J29" s="67"/>
      <c r="K29" s="68">
        <f>(MAIN!$J15/2-K28)^2*K22+(MAIN!$J15+K23/2-K28)^2*K24+(MAIN!$J15+K23/3)^2*K25</f>
        <v>8902944.09774929</v>
      </c>
      <c r="L29" s="67"/>
      <c r="M29" s="68">
        <f>(MAIN!$J15/2-M28)^2*M22+(MAIN!$J15+M23/2-M28)^2*M24+(MAIN!$J15+M23/3)^2*M25</f>
        <v>8902944.09774929</v>
      </c>
      <c r="N29" s="66"/>
      <c r="O29" s="375"/>
      <c r="Q29" s="5"/>
      <c r="R29" s="5"/>
    </row>
    <row r="30" spans="1:15" ht="15">
      <c r="A30" s="375"/>
      <c r="B30" s="48" t="s">
        <v>184</v>
      </c>
      <c r="C30" s="69"/>
      <c r="D30" s="67">
        <f>D29+MAIN!$J15^3/12*MAIN!$J17+D23^3/12*MAIN!$J16+D23^4/180</f>
        <v>686716268.9313694</v>
      </c>
      <c r="E30" s="68">
        <f>IF(MAIN!C19=0,0,E29+MAIN!$J15^3/12*MAIN!$J17+E23^3/12*MAIN!$J16+E23^4/180)</f>
        <v>686716268.9313694</v>
      </c>
      <c r="F30" s="67"/>
      <c r="G30" s="68">
        <f>IF(MAIN!C20=0,0,G29+MAIN!$J15^3/12*MAIN!$J17+G23^3/12*MAIN!$J16+G23^4/180)</f>
        <v>686716268.9313694</v>
      </c>
      <c r="H30" s="67"/>
      <c r="I30" s="68">
        <f>IF(MAIN!C21=0,0,I29+MAIN!$J15^3/12*MAIN!$J17+I23^3/12*MAIN!$J16+I23^4/180)</f>
        <v>0</v>
      </c>
      <c r="J30" s="67"/>
      <c r="K30" s="68">
        <f>IF(MAIN!C22=0,0,K29+MAIN!$J15^3/12*MAIN!$J17+K23^3/12*MAIN!$J16+K23^4/180)</f>
        <v>0</v>
      </c>
      <c r="L30" s="67"/>
      <c r="M30" s="68">
        <f>IF(MAIN!C23=0,0,M29+MAIN!$J15^3/12*MAIN!$J17+M23^3/12*MAIN!$J16+M23^4/180)</f>
        <v>0</v>
      </c>
      <c r="N30" s="69"/>
      <c r="O30" s="375"/>
    </row>
    <row r="31" spans="1:15" ht="15">
      <c r="A31" s="375"/>
      <c r="B31" s="38" t="s">
        <v>185</v>
      </c>
      <c r="C31" s="69"/>
      <c r="D31" s="67">
        <f>IF(MAIN!J21="C",0,D30/MAIN!C18)</f>
        <v>0</v>
      </c>
      <c r="E31" s="68">
        <f>IF(AND(MAIN!J22="C",MAIN!I22=3),0,E30/MAIN!C19)</f>
        <v>98102324.13305278</v>
      </c>
      <c r="F31" s="67">
        <f>E31</f>
        <v>98102324.13305278</v>
      </c>
      <c r="G31" s="68">
        <f>IF(AND(MAIN!J22="C",MAIN!I22=4),0,G30/MAIN!C20)</f>
        <v>91562169.19084926</v>
      </c>
      <c r="H31" s="67">
        <f>G31</f>
        <v>91562169.19084926</v>
      </c>
      <c r="I31" s="68" t="e">
        <f>IF(AND(MAIN!J22="C",MAIN!I22=5),0,I30/MAIN!C21)</f>
        <v>#DIV/0!</v>
      </c>
      <c r="J31" s="67" t="e">
        <f>I31</f>
        <v>#DIV/0!</v>
      </c>
      <c r="K31" s="68" t="e">
        <f>IF(AND(MAIN!J22="C",MAIN!I22=6),0,K30/MAIN!C22)</f>
        <v>#DIV/0!</v>
      </c>
      <c r="L31" s="67" t="e">
        <f>K31</f>
        <v>#DIV/0!</v>
      </c>
      <c r="M31" s="68" t="e">
        <f>IF(AND(MAIN!J22="C",MAIN!I22=7),0,M30/MAIN!C23)</f>
        <v>#DIV/0!</v>
      </c>
      <c r="N31" s="69"/>
      <c r="O31" s="375"/>
    </row>
    <row r="32" spans="1:15" ht="18">
      <c r="A32" s="375"/>
      <c r="B32" s="38" t="s">
        <v>186</v>
      </c>
      <c r="C32" s="69"/>
      <c r="D32" s="70">
        <f>SUM(D31:E31)</f>
        <v>98102324.13305278</v>
      </c>
      <c r="E32" s="71"/>
      <c r="F32" s="70">
        <f>SUM(F31:G31)</f>
        <v>189664493.32390204</v>
      </c>
      <c r="G32" s="71"/>
      <c r="H32" s="70" t="e">
        <f>SUM(H31:I31)</f>
        <v>#DIV/0!</v>
      </c>
      <c r="I32" s="71"/>
      <c r="J32" s="70" t="e">
        <f>SUM(J31:K31)</f>
        <v>#DIV/0!</v>
      </c>
      <c r="K32" s="71"/>
      <c r="L32" s="70" t="e">
        <f>SUM(L31:M31)</f>
        <v>#DIV/0!</v>
      </c>
      <c r="M32" s="71"/>
      <c r="N32" s="69"/>
      <c r="O32" s="375"/>
    </row>
    <row r="33" spans="1:15" ht="15">
      <c r="A33" s="375"/>
      <c r="B33" s="38" t="s">
        <v>187</v>
      </c>
      <c r="C33" s="72">
        <f>IF(MAIN!J21="E",0,1)</f>
        <v>1</v>
      </c>
      <c r="D33" s="73">
        <f>IF(AND(MAIN!$J22="E",MAIN!$I22=2),0,1-E33)</f>
        <v>0</v>
      </c>
      <c r="E33" s="74">
        <f>IF(E30=0,0,IF(AND(MAIN!$I22=2,MAIN!$J22="E"),1,E31/D32))</f>
        <v>1</v>
      </c>
      <c r="F33" s="73">
        <f>IF(AND(MAIN!$J22="E",MAIN!$I22=3),0,1-G33)</f>
        <v>0.5172413793103449</v>
      </c>
      <c r="G33" s="74">
        <f>IF(G30=0,0,IF(AND(MAIN!$I22=3,MAIN!$J22="E"),1,G31/F32))</f>
        <v>0.48275862068965514</v>
      </c>
      <c r="H33" s="73">
        <f>IF(AND(MAIN!$J22="E",MAIN!$I22=4),0,1-I33)</f>
        <v>1</v>
      </c>
      <c r="I33" s="74">
        <f>IF(I30=0,0,IF(AND(MAIN!$I22=4,MAIN!$J22="E"),1,I31/H32))</f>
        <v>0</v>
      </c>
      <c r="J33" s="73">
        <f>IF(AND(MAIN!$J22="E",MAIN!$I22=5),0,1-K33)</f>
        <v>1</v>
      </c>
      <c r="K33" s="74">
        <f>IF(K30=0,0,IF(AND(MAIN!$I22=5,MAIN!$J22="E"),1,K31/J32))</f>
        <v>0</v>
      </c>
      <c r="L33" s="73">
        <f>IF(AND(MAIN!$J22="E",MAIN!$I22=6),0,1-M33)</f>
        <v>1</v>
      </c>
      <c r="M33" s="74">
        <f>IF(M30=0,0,IF(AND(MAIN!$I22=6,MAIN!$J22="E"),1,M31/L32))</f>
        <v>0</v>
      </c>
      <c r="N33" s="72">
        <f>IF(MAIN!J22="E",0,1)</f>
        <v>1</v>
      </c>
      <c r="O33" s="375"/>
    </row>
    <row r="34" spans="1:15" ht="12.75">
      <c r="A34" s="375"/>
      <c r="O34" s="375"/>
    </row>
    <row r="35" spans="1:15" ht="15">
      <c r="A35" s="375"/>
      <c r="B35" s="123" t="s">
        <v>188</v>
      </c>
      <c r="O35" s="375"/>
    </row>
    <row r="36" spans="1:15" ht="16.5">
      <c r="A36" s="375"/>
      <c r="B36" s="15"/>
      <c r="C36" s="22" t="s">
        <v>47</v>
      </c>
      <c r="D36" s="23"/>
      <c r="E36" s="22" t="s">
        <v>59</v>
      </c>
      <c r="F36" s="23"/>
      <c r="G36" s="22" t="s">
        <v>61</v>
      </c>
      <c r="H36" s="23"/>
      <c r="I36" s="22" t="s">
        <v>51</v>
      </c>
      <c r="J36" s="23"/>
      <c r="K36" s="22" t="s">
        <v>60</v>
      </c>
      <c r="L36" s="23"/>
      <c r="M36" s="22" t="s">
        <v>62</v>
      </c>
      <c r="N36" s="23"/>
      <c r="O36" s="375"/>
    </row>
    <row r="37" spans="1:15" ht="14.25">
      <c r="A37" s="375"/>
      <c r="B37" s="75" t="s">
        <v>160</v>
      </c>
      <c r="C37" s="61" t="s">
        <v>175</v>
      </c>
      <c r="D37" s="62" t="s">
        <v>174</v>
      </c>
      <c r="E37" s="61" t="s">
        <v>175</v>
      </c>
      <c r="F37" s="62" t="s">
        <v>174</v>
      </c>
      <c r="G37" s="61" t="s">
        <v>175</v>
      </c>
      <c r="H37" s="62" t="s">
        <v>174</v>
      </c>
      <c r="I37" s="61" t="s">
        <v>175</v>
      </c>
      <c r="J37" s="62" t="s">
        <v>174</v>
      </c>
      <c r="K37" s="61" t="s">
        <v>175</v>
      </c>
      <c r="L37" s="62" t="s">
        <v>174</v>
      </c>
      <c r="M37" s="61" t="s">
        <v>175</v>
      </c>
      <c r="N37" s="62" t="s">
        <v>174</v>
      </c>
      <c r="O37" s="375"/>
    </row>
    <row r="38" spans="1:15" ht="15">
      <c r="A38" s="375"/>
      <c r="B38" s="26" t="s">
        <v>189</v>
      </c>
      <c r="C38" s="51"/>
      <c r="D38" s="37">
        <f>6*D39+MAIN!D29*C$16*(MAIN!C$18-MAIN!F$29)+MAIN!D30*C$16*(MAIN!C$18-MAIN!F$30)</f>
        <v>16.4673875</v>
      </c>
      <c r="E38" s="51">
        <f>6*E39+C16*(MAIN!D33*MAIN!F33+MAIN!D34*MAIN!F34)</f>
        <v>176.10913333333335</v>
      </c>
      <c r="F38" s="37"/>
      <c r="G38" s="51">
        <f>6*G39+C16*(MAIN!D37*MAIN!F37+MAIN!D38*MAIN!F38)</f>
        <v>177.84338020833334</v>
      </c>
      <c r="H38" s="37"/>
      <c r="I38" s="51">
        <f>6*I39+C16*(MAIN!I29*MAIN!K29+MAIN!I30*MAIN!K30)</f>
        <v>0</v>
      </c>
      <c r="J38" s="37"/>
      <c r="K38" s="51">
        <f>6*K39+C16*(MAIN!I33*MAIN!K33+MAIN!I34*MAIN!K34)</f>
        <v>0</v>
      </c>
      <c r="L38" s="37"/>
      <c r="M38" s="51">
        <f>6*M39+C16*(MAIN!I37*MAIN!K37+MAIN!I38*MAIN!K38)</f>
        <v>0</v>
      </c>
      <c r="N38" s="37"/>
      <c r="O38" s="375"/>
    </row>
    <row r="39" spans="1:15" ht="15">
      <c r="A39" s="375"/>
      <c r="B39" s="26" t="s">
        <v>54</v>
      </c>
      <c r="C39" s="51">
        <f>(MAIN!C28+MAIN!D28)*MAIN!C18^2/12*C16</f>
        <v>2.7445645833333336</v>
      </c>
      <c r="D39" s="37">
        <f>C39</f>
        <v>2.7445645833333336</v>
      </c>
      <c r="E39" s="51">
        <f>(MAIN!C32+MAIN!D32)*MAIN!C19^2/12*C16</f>
        <v>27.29735555555556</v>
      </c>
      <c r="F39" s="37">
        <f>E39</f>
        <v>27.29735555555556</v>
      </c>
      <c r="G39" s="51">
        <f>(MAIN!C36+MAIN!D36)*MAIN!C20^2/12*C16</f>
        <v>29.640563368055556</v>
      </c>
      <c r="H39" s="37">
        <f>G39</f>
        <v>29.640563368055556</v>
      </c>
      <c r="I39" s="51">
        <f>(MAIN!H28+MAIN!I28)*MAIN!C21^2/12*C16</f>
        <v>0</v>
      </c>
      <c r="J39" s="37">
        <f>I39</f>
        <v>0</v>
      </c>
      <c r="K39" s="51">
        <f>(MAIN!H32+MAIN!I32)*MAIN!C22^2/12*C16</f>
        <v>0</v>
      </c>
      <c r="L39" s="37">
        <f>K39</f>
        <v>0</v>
      </c>
      <c r="M39" s="51">
        <f>(MAIN!H36+MAIN!I36)*MAIN!C23^2/12*C16</f>
        <v>0</v>
      </c>
      <c r="N39" s="37">
        <f>M39</f>
        <v>0</v>
      </c>
      <c r="O39" s="375"/>
    </row>
    <row r="40" spans="1:15" ht="15">
      <c r="A40" s="375"/>
      <c r="B40" s="26" t="s">
        <v>56</v>
      </c>
      <c r="C40" s="51">
        <f>MAIN!D29*MAIN!$F$29*(MAIN!$C$18-MAIN!$F$29)^2/MAIN!$C$18^2*$C$16</f>
        <v>0</v>
      </c>
      <c r="D40" s="37">
        <f>MAIN!D29*MAIN!$F$29^2*(MAIN!$C$18-MAIN!$F$29)/MAIN!$C$18^2*$C$16</f>
        <v>0</v>
      </c>
      <c r="E40" s="51">
        <f>MAIN!D33*MAIN!$F$33*(MAIN!$C$19-MAIN!F$33)^2/MAIN!$C$19^2*$C$16</f>
        <v>7.747771683673469</v>
      </c>
      <c r="F40" s="37">
        <f>MAIN!D33*MAIN!$F$33^2*(MAIN!$C$19-MAIN!F$33)/MAIN!$C$19^2*$C$16</f>
        <v>2.024192602040816</v>
      </c>
      <c r="G40" s="51">
        <f>MAIN!D37*MAIN!$F$37*(MAIN!$C$20-MAIN!F$37)^2/MAIN!$C$20^2*$C$16</f>
        <v>0</v>
      </c>
      <c r="H40" s="37">
        <f>MAIN!D37*MAIN!$F$37^2*(MAIN!$C$20-MAIN!F$37)/MAIN!$C$20^2*$C$16</f>
        <v>0</v>
      </c>
      <c r="I40" s="51" t="e">
        <f>MAIN!I29*C16/MAIN!C21^2*MAIN!K29*(MAIN!C21-MAIN!K29)^2</f>
        <v>#DIV/0!</v>
      </c>
      <c r="J40" s="37" t="e">
        <f>I40*MAIN!K29/(MAIN!C21-MAIN!K29)</f>
        <v>#DIV/0!</v>
      </c>
      <c r="K40" s="51" t="e">
        <f>MAIN!I33*C16/MAIN!C22^2*MAIN!K33*(MAIN!C22-MAIN!K33)^2</f>
        <v>#DIV/0!</v>
      </c>
      <c r="L40" s="37" t="e">
        <f>K40*MAIN!K33/(MAIN!C22-MAIN!K33)</f>
        <v>#DIV/0!</v>
      </c>
      <c r="M40" s="51" t="e">
        <f>MAIN!I37*C16/MAIN!C23^2*MAIN!K37*(MAIN!C23-MAIN!K37)^2</f>
        <v>#DIV/0!</v>
      </c>
      <c r="N40" s="37" t="e">
        <f>M40*MAIN!K37/(MAIN!C23-MAIN!K37)</f>
        <v>#DIV/0!</v>
      </c>
      <c r="O40" s="375"/>
    </row>
    <row r="41" spans="1:15" ht="15">
      <c r="A41" s="375"/>
      <c r="B41" s="26" t="s">
        <v>58</v>
      </c>
      <c r="C41" s="51">
        <f>MAIN!D30*MAIN!$F$30*(MAIN!$C$18-MAIN!$F$30)^2/MAIN!$C$18^2*$C$16</f>
        <v>0</v>
      </c>
      <c r="D41" s="37">
        <f>MAIN!D30*MAIN!$F$30^2*(MAIN!$C$18-MAIN!$F$30)/MAIN!$C$18^2*$C$16</f>
        <v>0</v>
      </c>
      <c r="E41" s="51">
        <f>MAIN!D34*MAIN!$F$34*(MAIN!$C$19-MAIN!$F$34)^2/MAIN!$C$19^2*$C$16</f>
        <v>0</v>
      </c>
      <c r="F41" s="37">
        <f>MAIN!D34*MAIN!$F$34^2*(MAIN!$C$19-MAIN!$F$34)/MAIN!$C$19^2*$C$16</f>
        <v>0</v>
      </c>
      <c r="G41" s="51">
        <f>MAIN!D38*MAIN!$F$38*(MAIN!$C$20-MAIN!$F$38)^2/MAIN!$C$20^2*$C$16</f>
        <v>0</v>
      </c>
      <c r="H41" s="37">
        <f>MAIN!D38*MAIN!$F$38^2*(MAIN!$C$20-MAIN!$F$38)/MAIN!$C$20^2*$C$16</f>
        <v>0</v>
      </c>
      <c r="I41" s="51" t="e">
        <f>MAIN!I30*C16/MAIN!C21^2*MAIN!K30*(MAIN!C21-MAIN!K30)^2</f>
        <v>#DIV/0!</v>
      </c>
      <c r="J41" s="37" t="e">
        <f>I41*MAIN!K30/(MAIN!C21-MAIN!K30)</f>
        <v>#DIV/0!</v>
      </c>
      <c r="K41" s="51" t="e">
        <f>MAIN!I34*C16/MAIN!C22^2*MAIN!K34*(MAIN!C22-MAIN!K34)^2</f>
        <v>#DIV/0!</v>
      </c>
      <c r="L41" s="37" t="e">
        <f>K41*MAIN!K34/(MAIN!C22-MAIN!K34)</f>
        <v>#DIV/0!</v>
      </c>
      <c r="M41" s="51" t="e">
        <f>MAIN!I38*C16/MAIN!C23^2*MAIN!K38*(MAIN!C23-MAIN!K38)^2</f>
        <v>#DIV/0!</v>
      </c>
      <c r="N41" s="37" t="e">
        <f>M41*MAIN!K38/(MAIN!C23-MAIN!K38)</f>
        <v>#DIV/0!</v>
      </c>
      <c r="O41" s="375"/>
    </row>
    <row r="42" spans="1:15" ht="15.75">
      <c r="A42" s="375"/>
      <c r="B42" s="26" t="s">
        <v>190</v>
      </c>
      <c r="C42" s="719">
        <f>IF(D42=D38,0,SUM(C39:C41))</f>
        <v>0</v>
      </c>
      <c r="D42" s="720">
        <f>IF(MAIN!J$21="C",D38,SUM(D39:D41))</f>
        <v>16.4673875</v>
      </c>
      <c r="E42" s="719">
        <f>IF(E$30=0,0,IF(AND(MAIN!$J$22="C",MAIN!$I$22=3),E38,SUM(E39:E41)))</f>
        <v>35.045127239229025</v>
      </c>
      <c r="F42" s="720">
        <f>IF(E$30=0,0,IF(E42=E38,0,SUM(F39:F41)))</f>
        <v>29.321548157596375</v>
      </c>
      <c r="G42" s="719">
        <f>IF(G$30=0,0,IF(AND(MAIN!$J$22="C",MAIN!$I$22=4),G38,SUM(G39:G41)))</f>
        <v>29.640563368055556</v>
      </c>
      <c r="H42" s="720">
        <f>IF(G$30=0,0,IF(G42=G38,0,SUM(H39:H41)))</f>
        <v>29.640563368055556</v>
      </c>
      <c r="I42" s="719">
        <f>IF(I$30=0,0,IF(AND(MAIN!$J$22="C",MAIN!$I$22=5),I38,SUM(I39:I41)))</f>
        <v>0</v>
      </c>
      <c r="J42" s="720">
        <f>IF(I$30=0,0,IF(I42=I38,0,SUM(J39:J41)))</f>
        <v>0</v>
      </c>
      <c r="K42" s="719">
        <f>IF(K$30=0,0,IF(AND(MAIN!$J$22="C",MAIN!$I$22=6),K38,SUM(K39:K41)))</f>
        <v>0</v>
      </c>
      <c r="L42" s="720">
        <f>IF(K$30=0,0,IF(K42=K38,0,SUM(L39:L41)))</f>
        <v>0</v>
      </c>
      <c r="M42" s="719">
        <f>IF(M$30=0,0,IF(AND(MAIN!$J$22="C",MAIN!$I$22=7),M38,SUM(M39:M41)))</f>
        <v>0</v>
      </c>
      <c r="N42" s="720">
        <f>IF(M$30=0,0,IF(M42=M38,0,SUM(N39:N41)))</f>
        <v>0</v>
      </c>
      <c r="O42" s="375"/>
    </row>
    <row r="43" spans="1:15" ht="15">
      <c r="A43" s="375"/>
      <c r="B43" s="75" t="s">
        <v>191</v>
      </c>
      <c r="C43" s="51"/>
      <c r="D43" s="37"/>
      <c r="E43" s="51"/>
      <c r="F43" s="37"/>
      <c r="G43" s="51"/>
      <c r="H43" s="37"/>
      <c r="I43" s="51"/>
      <c r="J43" s="37"/>
      <c r="K43" s="51"/>
      <c r="L43" s="37"/>
      <c r="M43" s="51"/>
      <c r="N43" s="37"/>
      <c r="O43" s="375"/>
    </row>
    <row r="44" spans="1:15" ht="15">
      <c r="A44" s="375"/>
      <c r="B44" s="26" t="s">
        <v>189</v>
      </c>
      <c r="C44" s="51"/>
      <c r="D44" s="37">
        <f>6*D45+(MAIN!D29*C$17+MAIN!E29*F17)*(MAIN!C$18-MAIN!F$29)+(MAIN!D30*C$17+MAIN!E30*F17)*(MAIN!C$18-MAIN!F$30)</f>
        <v>19.386955</v>
      </c>
      <c r="E44" s="51">
        <f>6*E45+C17*(MAIN!D33*MAIN!F33+MAIN!D34*MAIN!F34)+F17*(MAIN!E33*MAIN!F33+MAIN!E34*MAIN!F34)</f>
        <v>229.56365333333332</v>
      </c>
      <c r="F44" s="37"/>
      <c r="G44" s="51">
        <f>6*G45+C17*(MAIN!D37*MAIN!F37+MAIN!D38*MAIN!F38)+F17*(MAIN!E37*MAIN!F37+MAIN!E38*MAIN!F38)</f>
        <v>251.13735208333338</v>
      </c>
      <c r="H44" s="37"/>
      <c r="I44" s="51">
        <f>6*I45+C17*(MAIN!I29*MAIN!K29+MAIN!I30*MAIN!K30)+F17*(MAIN!J29*MAIN!K29+MAIN!J30*MAIN!K30)</f>
        <v>0</v>
      </c>
      <c r="J44" s="37"/>
      <c r="K44" s="51">
        <f>6*K45+C17*(MAIN!I33*MAIN!K33+MAIN!I34*MAIN!K34)+F17*(MAIN!J33*MAIN!K33+MAIN!J34*MAIN!K34)</f>
        <v>0</v>
      </c>
      <c r="L44" s="37"/>
      <c r="M44" s="51">
        <f>6*M45+C17*(MAIN!I37*MAIN!K37+MAIN!I38*MAIN!K38)+F17*(MAIN!J37*MAIN!K37+MAIN!J38*MAIN!K38)</f>
        <v>0</v>
      </c>
      <c r="N44" s="37"/>
      <c r="O44" s="375"/>
    </row>
    <row r="45" spans="1:15" ht="15">
      <c r="A45" s="375"/>
      <c r="B45" s="26" t="s">
        <v>54</v>
      </c>
      <c r="C45" s="51">
        <f>((MAIN!C28+MAIN!D28)*C17+MAIN!E28*F17)*MAIN!C18^2/12</f>
        <v>3.2311591666666666</v>
      </c>
      <c r="D45" s="37">
        <f>C45</f>
        <v>3.2311591666666666</v>
      </c>
      <c r="E45" s="51">
        <f>((MAIN!C32+MAIN!D32)*C17+MAIN!E32*F17)*MAIN!C19^2/12</f>
        <v>37.05227555555555</v>
      </c>
      <c r="F45" s="37">
        <f>E45</f>
        <v>37.05227555555555</v>
      </c>
      <c r="G45" s="51">
        <f>((MAIN!C36+MAIN!D36)*C17+MAIN!E36*F17)*MAIN!C20^2/12</f>
        <v>41.85622534722223</v>
      </c>
      <c r="H45" s="37">
        <f>G45</f>
        <v>41.85622534722223</v>
      </c>
      <c r="I45" s="51">
        <f>((MAIN!H28+MAIN!I28)*C17+MAIN!J28*F17)*MAIN!C21^2/12</f>
        <v>0</v>
      </c>
      <c r="J45" s="37">
        <f>I45</f>
        <v>0</v>
      </c>
      <c r="K45" s="51">
        <f>((MAIN!H32+MAIN!I32)*C17+MAIN!J32*F17)*MAIN!C22^2/12</f>
        <v>0</v>
      </c>
      <c r="L45" s="37">
        <f>K45</f>
        <v>0</v>
      </c>
      <c r="M45" s="51">
        <f>((MAIN!H36+MAIN!I36)*C17+MAIN!J36*F17)*MAIN!C23^2/12</f>
        <v>0</v>
      </c>
      <c r="N45" s="37">
        <f>M45</f>
        <v>0</v>
      </c>
      <c r="O45" s="375"/>
    </row>
    <row r="46" spans="1:15" ht="15">
      <c r="A46" s="375"/>
      <c r="B46" s="26" t="s">
        <v>56</v>
      </c>
      <c r="C46" s="51">
        <f>(MAIN!D29*C17+MAIN!E29*F17)*MAIN!$F$29*(MAIN!$C$18-MAIN!$F$29)^2/MAIN!$C$18^2</f>
        <v>0</v>
      </c>
      <c r="D46" s="37">
        <f>MAIN!F29/(MAIN!$C$18-MAIN!F29)*C46</f>
        <v>0</v>
      </c>
      <c r="E46" s="51">
        <f>(MAIN!D33*C17+MAIN!E33*F17)*MAIN!$F$33*(MAIN!$C$19-MAIN!F$33)^2/MAIN!$C$19^2</f>
        <v>4.5575127551020405</v>
      </c>
      <c r="F46" s="37">
        <f>MAIN!F33/(MAIN!$C$19-MAIN!F33)*E46</f>
        <v>1.1907015306122448</v>
      </c>
      <c r="G46" s="51">
        <f>(MAIN!D37*C17+MAIN!E37*F17)*MAIN!$F$37*(MAIN!$C$20-MAIN!F$37)^2/MAIN!$C$20^2</f>
        <v>0</v>
      </c>
      <c r="H46" s="37">
        <f>MAIN!F37/(MAIN!$C$20-MAIN!F37)*G46</f>
        <v>0</v>
      </c>
      <c r="I46" s="51" t="e">
        <f>(MAIN!I29*C17+MAIN!J29*F17)/MAIN!C21^2*MAIN!K29*(MAIN!C21-MAIN!K29)^2</f>
        <v>#DIV/0!</v>
      </c>
      <c r="J46" s="37" t="e">
        <f>MAIN!K29/(MAIN!C$21-MAIN!K29)*I46</f>
        <v>#DIV/0!</v>
      </c>
      <c r="K46" s="51" t="e">
        <f>(MAIN!I33*C17+MAIN!J33*F17)/MAIN!C22^2*MAIN!K33*(MAIN!C22-MAIN!K33)^2</f>
        <v>#DIV/0!</v>
      </c>
      <c r="L46" s="37" t="e">
        <f>MAIN!K33/(MAIN!C$22-MAIN!K33)*K46</f>
        <v>#DIV/0!</v>
      </c>
      <c r="M46" s="51" t="e">
        <f>(MAIN!I37*C17+MAIN!J37*F17)/MAIN!C23^2*MAIN!K37*(MAIN!C23-MAIN!K37)^2</f>
        <v>#DIV/0!</v>
      </c>
      <c r="N46" s="37" t="e">
        <f>MAIN!K37/(MAIN!C$23-MAIN!K37)*M46</f>
        <v>#DIV/0!</v>
      </c>
      <c r="O46" s="375"/>
    </row>
    <row r="47" spans="1:15" ht="15">
      <c r="A47" s="375"/>
      <c r="B47" s="26" t="s">
        <v>58</v>
      </c>
      <c r="C47" s="51">
        <f>(MAIN!D30*C17+MAIN!E30*F17)*MAIN!$F$30*(MAIN!$C$18-MAIN!$F$30)^2/MAIN!$C$18^2</f>
        <v>0</v>
      </c>
      <c r="D47" s="37">
        <f>MAIN!F30/(MAIN!$C$18-MAIN!F30)*C47</f>
        <v>0</v>
      </c>
      <c r="E47" s="51">
        <f>(MAIN!D34*C17+MAIN!E34*F17)*MAIN!$F$34*(MAIN!$C$19-MAIN!$F$34)^2/MAIN!$C$19^2</f>
        <v>0</v>
      </c>
      <c r="F47" s="37">
        <f>MAIN!F34/(MAIN!$C$19-MAIN!F34)*E47</f>
        <v>0</v>
      </c>
      <c r="G47" s="51">
        <f>(MAIN!D38*C17+MAIN!E38*F17)*MAIN!$F$38*(MAIN!$C$20-MAIN!$F$38)^2/MAIN!$C$20^2</f>
        <v>0</v>
      </c>
      <c r="H47" s="37">
        <f>MAIN!F38/(MAIN!$C$20-MAIN!F38)*G47</f>
        <v>0</v>
      </c>
      <c r="I47" s="51" t="e">
        <f>(MAIN!I30*C17+MAIN!J30*F17)/MAIN!C21^2*MAIN!K30*(MAIN!C21-MAIN!K30)^2</f>
        <v>#DIV/0!</v>
      </c>
      <c r="J47" s="37" t="e">
        <f>MAIN!K30/(MAIN!C$21-MAIN!K30)*I47</f>
        <v>#DIV/0!</v>
      </c>
      <c r="K47" s="51" t="e">
        <f>(MAIN!I34*C17+MAIN!J34*F17)/MAIN!C22^2*MAIN!K34*(MAIN!C22-MAIN!K34)^2</f>
        <v>#DIV/0!</v>
      </c>
      <c r="L47" s="37" t="e">
        <f>MAIN!K34/(MAIN!C$22-MAIN!K34)*K47</f>
        <v>#DIV/0!</v>
      </c>
      <c r="M47" s="51" t="e">
        <f>(MAIN!I38*C17+MAIN!J38*F17)/MAIN!C23^2*MAIN!K38*(MAIN!C23-MAIN!K38)^2</f>
        <v>#DIV/0!</v>
      </c>
      <c r="N47" s="37" t="e">
        <f>MAIN!K38/(MAIN!C$23-MAIN!K38)*M47</f>
        <v>#DIV/0!</v>
      </c>
      <c r="O47" s="375"/>
    </row>
    <row r="48" spans="1:15" ht="15.75">
      <c r="A48" s="375"/>
      <c r="B48" s="26" t="s">
        <v>190</v>
      </c>
      <c r="C48" s="721">
        <f>IF(D48=D44,0,SUM(C45:C47))</f>
        <v>0</v>
      </c>
      <c r="D48" s="722">
        <f>IF(MAIN!J$21="C",D44,SUM(D45:D47))</f>
        <v>19.386955</v>
      </c>
      <c r="E48" s="721">
        <f>IF(E$30=0,0,IF(AND(MAIN!$J$22="C",MAIN!$I$22=3),E44,SUM(E45:E47)))</f>
        <v>41.60978831065759</v>
      </c>
      <c r="F48" s="722">
        <f>IF(E$30=0,0,IF(E48=E44,0,SUM(F45:F47)))</f>
        <v>38.2429770861678</v>
      </c>
      <c r="G48" s="721">
        <f>IF(G$30=0,0,IF(AND(MAIN!$J$22="C",MAIN!$I$22=4),G44,SUM(G45:G47)))</f>
        <v>41.85622534722223</v>
      </c>
      <c r="H48" s="722">
        <f>IF(G$30=0,0,IF(G48=G44,0,SUM(H45:H47)))</f>
        <v>41.85622534722223</v>
      </c>
      <c r="I48" s="721">
        <f>IF(I$30=0,0,IF(AND(MAIN!$J$22="C",MAIN!$I$22=5),I44,SUM(I45:I47)))</f>
        <v>0</v>
      </c>
      <c r="J48" s="722">
        <f>IF(I$30=0,0,IF(I48=I44,0,SUM(J45:J47)))</f>
        <v>0</v>
      </c>
      <c r="K48" s="721">
        <f>IF(K$30=0,0,IF(AND(MAIN!$J$22="C",MAIN!$I$22=6),K44,SUM(K45:K47)))</f>
        <v>0</v>
      </c>
      <c r="L48" s="722">
        <f>IF(K$30=0,0,IF(K48=K44,0,SUM(L45:L47)))</f>
        <v>0</v>
      </c>
      <c r="M48" s="721">
        <f>IF(M$30=0,0,IF(AND(MAIN!$J$22="C",MAIN!$I$22=7),M44,SUM(M45:M47)))</f>
        <v>0</v>
      </c>
      <c r="N48" s="722">
        <f>IF(M$30=0,0,IF(M48=M44,0,SUM(N45:N47)))</f>
        <v>0</v>
      </c>
      <c r="O48" s="375"/>
    </row>
    <row r="49" spans="1:15" ht="12.75">
      <c r="A49" s="375"/>
      <c r="O49" s="375"/>
    </row>
    <row r="50" spans="1:15" ht="15">
      <c r="A50" s="375"/>
      <c r="B50" s="123" t="s">
        <v>192</v>
      </c>
      <c r="O50" s="375"/>
    </row>
    <row r="51" spans="1:15" ht="19.5">
      <c r="A51" s="375"/>
      <c r="B51" s="16"/>
      <c r="C51" s="77" t="s">
        <v>167</v>
      </c>
      <c r="D51" s="49" t="s">
        <v>168</v>
      </c>
      <c r="E51" s="50"/>
      <c r="F51" s="49" t="s">
        <v>169</v>
      </c>
      <c r="G51" s="50"/>
      <c r="H51" s="49" t="s">
        <v>170</v>
      </c>
      <c r="I51" s="50"/>
      <c r="J51" s="49" t="s">
        <v>171</v>
      </c>
      <c r="K51" s="50"/>
      <c r="L51" s="49" t="s">
        <v>172</v>
      </c>
      <c r="M51" s="50"/>
      <c r="N51" s="77" t="s">
        <v>173</v>
      </c>
      <c r="O51" s="375"/>
    </row>
    <row r="52" spans="1:15" ht="15">
      <c r="A52" s="375"/>
      <c r="B52" s="75" t="s">
        <v>160</v>
      </c>
      <c r="C52" s="32">
        <f>-C42</f>
        <v>0</v>
      </c>
      <c r="D52" s="32">
        <f>D42</f>
        <v>16.4673875</v>
      </c>
      <c r="E52" s="78">
        <f>-E42</f>
        <v>-35.045127239229025</v>
      </c>
      <c r="F52" s="32">
        <f>F42</f>
        <v>29.321548157596375</v>
      </c>
      <c r="G52" s="78">
        <f>-G42</f>
        <v>-29.640563368055556</v>
      </c>
      <c r="H52" s="32">
        <f>H42</f>
        <v>29.640563368055556</v>
      </c>
      <c r="I52" s="78">
        <f>-I42</f>
        <v>0</v>
      </c>
      <c r="J52" s="32">
        <f>J42</f>
        <v>0</v>
      </c>
      <c r="K52" s="78">
        <f>-K42</f>
        <v>0</v>
      </c>
      <c r="L52" s="32">
        <f>L42</f>
        <v>0</v>
      </c>
      <c r="M52" s="78">
        <f>-M42</f>
        <v>0</v>
      </c>
      <c r="N52" s="79">
        <f>N42</f>
        <v>0</v>
      </c>
      <c r="O52" s="375"/>
    </row>
    <row r="53" spans="1:15" ht="15">
      <c r="A53" s="375"/>
      <c r="B53" s="75"/>
      <c r="C53" s="51">
        <f>-C52*C$33</f>
        <v>0</v>
      </c>
      <c r="D53" s="51">
        <f>-SUM(D52:E52)*D$33</f>
        <v>0</v>
      </c>
      <c r="E53" s="37">
        <f>-SUM(D52:E52)*E$33</f>
        <v>18.577739739229024</v>
      </c>
      <c r="F53" s="51">
        <f>-SUM(F52:G52)*F$33</f>
        <v>0.16500786747888674</v>
      </c>
      <c r="G53" s="37">
        <f>-SUM(F52:G52)*G$33</f>
        <v>0.15400734298029428</v>
      </c>
      <c r="H53" s="51">
        <f>-SUM(H52:I52)*H$33</f>
        <v>-29.640563368055556</v>
      </c>
      <c r="I53" s="37">
        <f>-SUM(H52:I52)*I$33</f>
        <v>0</v>
      </c>
      <c r="J53" s="51">
        <f>-SUM(J52:K52)*J$33</f>
        <v>0</v>
      </c>
      <c r="K53" s="37">
        <f>-SUM(J52:K52)*K$33</f>
        <v>0</v>
      </c>
      <c r="L53" s="51">
        <f>-SUM(L52:M52)*L$33</f>
        <v>0</v>
      </c>
      <c r="M53" s="37">
        <f>-SUM(L52:M52)*M$33</f>
        <v>0</v>
      </c>
      <c r="N53" s="80">
        <f>-N52*N$33</f>
        <v>0</v>
      </c>
      <c r="O53" s="375"/>
    </row>
    <row r="54" spans="1:15" ht="15">
      <c r="A54" s="375"/>
      <c r="B54" s="26"/>
      <c r="C54" s="51">
        <f>0.5*D53</f>
        <v>0</v>
      </c>
      <c r="D54" s="51">
        <f>0.5*C53</f>
        <v>0</v>
      </c>
      <c r="E54" s="37">
        <f>0.5*F53</f>
        <v>0.08250393373944337</v>
      </c>
      <c r="F54" s="51">
        <f>0.5*E53</f>
        <v>9.288869869614512</v>
      </c>
      <c r="G54" s="37">
        <f>0.5*H53</f>
        <v>-14.820281684027778</v>
      </c>
      <c r="H54" s="51">
        <f>0.5*G53</f>
        <v>0.07700367149014714</v>
      </c>
      <c r="I54" s="37">
        <f>0.5*J53</f>
        <v>0</v>
      </c>
      <c r="J54" s="51">
        <f>0.5*I53</f>
        <v>0</v>
      </c>
      <c r="K54" s="37">
        <f>0.5*L53</f>
        <v>0</v>
      </c>
      <c r="L54" s="51">
        <f>0.5*K53</f>
        <v>0</v>
      </c>
      <c r="M54" s="37">
        <f>0.5*N53</f>
        <v>0</v>
      </c>
      <c r="N54" s="80">
        <f>0.5*M53</f>
        <v>0</v>
      </c>
      <c r="O54" s="375"/>
    </row>
    <row r="55" spans="1:15" ht="15">
      <c r="A55" s="375"/>
      <c r="B55" s="26"/>
      <c r="C55" s="51">
        <f>-C54*C$33</f>
        <v>0</v>
      </c>
      <c r="D55" s="51">
        <f>-SUM(D54:E54)*D$33</f>
        <v>0</v>
      </c>
      <c r="E55" s="37">
        <f>-SUM(D54:E54)*E$33</f>
        <v>-0.08250393373944337</v>
      </c>
      <c r="F55" s="51">
        <f>-SUM(F54:G54)*F$33</f>
        <v>2.861075076420655</v>
      </c>
      <c r="G55" s="37">
        <f>-SUM(F54:G54)*G$33</f>
        <v>2.670336737992611</v>
      </c>
      <c r="H55" s="51">
        <f>-SUM(H54:I54)*H$33</f>
        <v>-0.07700367149014714</v>
      </c>
      <c r="I55" s="37">
        <f>-SUM(H54:I54)*I$33</f>
        <v>0</v>
      </c>
      <c r="J55" s="51">
        <f>-SUM(J54:K54)*J$33</f>
        <v>0</v>
      </c>
      <c r="K55" s="37">
        <f>-SUM(J54:K54)*K$33</f>
        <v>0</v>
      </c>
      <c r="L55" s="51">
        <f>-SUM(L54:M54)*L$33</f>
        <v>0</v>
      </c>
      <c r="M55" s="37">
        <f>-SUM(L54:M54)*M$33</f>
        <v>0</v>
      </c>
      <c r="N55" s="80">
        <f>-N54*N$33</f>
        <v>0</v>
      </c>
      <c r="O55" s="375"/>
    </row>
    <row r="56" spans="1:15" ht="15">
      <c r="A56" s="375"/>
      <c r="B56" s="26"/>
      <c r="C56" s="51">
        <f>0.5*D55</f>
        <v>0</v>
      </c>
      <c r="D56" s="51">
        <f>0.5*C55</f>
        <v>0</v>
      </c>
      <c r="E56" s="37">
        <f>0.5*F55</f>
        <v>1.4305375382103276</v>
      </c>
      <c r="F56" s="51">
        <f>0.5*E55</f>
        <v>-0.041251966869721685</v>
      </c>
      <c r="G56" s="37">
        <f>0.5*H55</f>
        <v>-0.03850183574507357</v>
      </c>
      <c r="H56" s="51">
        <f>0.5*G55</f>
        <v>1.3351683689963054</v>
      </c>
      <c r="I56" s="37">
        <f>0.5*J55</f>
        <v>0</v>
      </c>
      <c r="J56" s="51">
        <f>0.5*I55</f>
        <v>0</v>
      </c>
      <c r="K56" s="37">
        <f>0.5*L55</f>
        <v>0</v>
      </c>
      <c r="L56" s="51">
        <f>0.5*K55</f>
        <v>0</v>
      </c>
      <c r="M56" s="37">
        <f>0.5*N55</f>
        <v>0</v>
      </c>
      <c r="N56" s="80">
        <f>0.5*M55</f>
        <v>0</v>
      </c>
      <c r="O56" s="375"/>
    </row>
    <row r="57" spans="1:15" ht="15">
      <c r="A57" s="375"/>
      <c r="B57" s="26"/>
      <c r="C57" s="51">
        <f>-C56*C$33</f>
        <v>0</v>
      </c>
      <c r="D57" s="51">
        <f>-SUM(D56:E56)*D$33</f>
        <v>0</v>
      </c>
      <c r="E57" s="37">
        <f>-SUM(D56:E56)*E$33</f>
        <v>-1.4305375382103276</v>
      </c>
      <c r="F57" s="51">
        <f>-SUM(F56:G56)*F$33</f>
        <v>0.041251966869721685</v>
      </c>
      <c r="G57" s="37">
        <f>-SUM(F56:G56)*G$33</f>
        <v>0.03850183574507357</v>
      </c>
      <c r="H57" s="51">
        <f>-SUM(H56:I56)*H$33</f>
        <v>-1.3351683689963054</v>
      </c>
      <c r="I57" s="37">
        <f>-SUM(H56:I56)*I$33</f>
        <v>0</v>
      </c>
      <c r="J57" s="51">
        <f>-SUM(J56:K56)*J$33</f>
        <v>0</v>
      </c>
      <c r="K57" s="37">
        <f>-SUM(J56:K56)*K$33</f>
        <v>0</v>
      </c>
      <c r="L57" s="51">
        <f>-SUM(L56:M56)*L$33</f>
        <v>0</v>
      </c>
      <c r="M57" s="37">
        <f>-SUM(L56:M56)*M$33</f>
        <v>0</v>
      </c>
      <c r="N57" s="80">
        <f>-N56*N$33</f>
        <v>0</v>
      </c>
      <c r="O57" s="375"/>
    </row>
    <row r="58" spans="1:15" ht="15">
      <c r="A58" s="375"/>
      <c r="B58" s="26"/>
      <c r="C58" s="51">
        <f>0.5*D57</f>
        <v>0</v>
      </c>
      <c r="D58" s="51">
        <f>0.5*C57</f>
        <v>0</v>
      </c>
      <c r="E58" s="37">
        <f>0.5*F57</f>
        <v>0.020625983434860842</v>
      </c>
      <c r="F58" s="51">
        <f>0.5*E57</f>
        <v>-0.7152687691051638</v>
      </c>
      <c r="G58" s="37">
        <f>0.5*H57</f>
        <v>-0.6675841844981527</v>
      </c>
      <c r="H58" s="51">
        <f>0.5*G57</f>
        <v>0.019250917872536785</v>
      </c>
      <c r="I58" s="37">
        <f>0.5*J57</f>
        <v>0</v>
      </c>
      <c r="J58" s="51">
        <f>0.5*I57</f>
        <v>0</v>
      </c>
      <c r="K58" s="37">
        <f>0.5*L57</f>
        <v>0</v>
      </c>
      <c r="L58" s="51">
        <f>0.5*K57</f>
        <v>0</v>
      </c>
      <c r="M58" s="37">
        <f>0.5*N57</f>
        <v>0</v>
      </c>
      <c r="N58" s="80">
        <f>0.5*M57</f>
        <v>0</v>
      </c>
      <c r="O58" s="375"/>
    </row>
    <row r="59" spans="1:15" ht="15">
      <c r="A59" s="375"/>
      <c r="B59" s="26"/>
      <c r="C59" s="51">
        <f>-C58*C$33</f>
        <v>0</v>
      </c>
      <c r="D59" s="51">
        <f>-SUM(D58:E58)*D$33</f>
        <v>0</v>
      </c>
      <c r="E59" s="37">
        <f>-SUM(D58:E58)*E$33</f>
        <v>-0.020625983434860842</v>
      </c>
      <c r="F59" s="51">
        <f>-SUM(F58:G58)*F$33</f>
        <v>0.7152687691051638</v>
      </c>
      <c r="G59" s="37">
        <f>-SUM(F58:G58)*G$33</f>
        <v>0.6675841844981527</v>
      </c>
      <c r="H59" s="51">
        <f>-SUM(H58:I58)*H$33</f>
        <v>-0.019250917872536785</v>
      </c>
      <c r="I59" s="37">
        <f>-SUM(H58:I58)*I$33</f>
        <v>0</v>
      </c>
      <c r="J59" s="51">
        <f>-SUM(J58:K58)*J$33</f>
        <v>0</v>
      </c>
      <c r="K59" s="37">
        <f>-SUM(J58:K58)*K$33</f>
        <v>0</v>
      </c>
      <c r="L59" s="51">
        <f>-SUM(L58:M58)*L$33</f>
        <v>0</v>
      </c>
      <c r="M59" s="37">
        <f>-SUM(L58:M58)*M$33</f>
        <v>0</v>
      </c>
      <c r="N59" s="80">
        <f>-N58*N$33</f>
        <v>0</v>
      </c>
      <c r="O59" s="375"/>
    </row>
    <row r="60" spans="1:15" ht="15">
      <c r="A60" s="375"/>
      <c r="B60" s="26"/>
      <c r="C60" s="51">
        <f>0.5*D59</f>
        <v>0</v>
      </c>
      <c r="D60" s="51">
        <f>0.5*C59</f>
        <v>0</v>
      </c>
      <c r="E60" s="37">
        <f>0.5*F59</f>
        <v>0.3576343845525819</v>
      </c>
      <c r="F60" s="51">
        <f>0.5*E59</f>
        <v>-0.010312991717430421</v>
      </c>
      <c r="G60" s="37">
        <f>0.5*H59</f>
        <v>-0.009625458936268393</v>
      </c>
      <c r="H60" s="51">
        <f>0.5*G59</f>
        <v>0.33379209224907636</v>
      </c>
      <c r="I60" s="37">
        <f>0.5*J59</f>
        <v>0</v>
      </c>
      <c r="J60" s="51">
        <f>0.5*I59</f>
        <v>0</v>
      </c>
      <c r="K60" s="37">
        <f>0.5*L59</f>
        <v>0</v>
      </c>
      <c r="L60" s="51">
        <f>0.5*K59</f>
        <v>0</v>
      </c>
      <c r="M60" s="37">
        <f>0.5*N59</f>
        <v>0</v>
      </c>
      <c r="N60" s="80">
        <f>0.5*M59</f>
        <v>0</v>
      </c>
      <c r="O60" s="375"/>
    </row>
    <row r="61" spans="1:15" ht="15">
      <c r="A61" s="375"/>
      <c r="B61" s="26"/>
      <c r="C61" s="51">
        <f>-C60*C$33</f>
        <v>0</v>
      </c>
      <c r="D61" s="51">
        <f>-SUM(D60:E60)*D$33</f>
        <v>0</v>
      </c>
      <c r="E61" s="37">
        <f>-SUM(D60:E60)*E$33</f>
        <v>-0.3576343845525819</v>
      </c>
      <c r="F61" s="51">
        <f>-SUM(F60:G60)*F$33</f>
        <v>0.010312991717430421</v>
      </c>
      <c r="G61" s="37">
        <f>-SUM(F60:G60)*G$33</f>
        <v>0.009625458936268393</v>
      </c>
      <c r="H61" s="51">
        <f>-SUM(H60:I60)*H$33</f>
        <v>-0.33379209224907636</v>
      </c>
      <c r="I61" s="37">
        <f>-SUM(H60:I60)*I$33</f>
        <v>0</v>
      </c>
      <c r="J61" s="51">
        <f>-SUM(J60:K60)*J$33</f>
        <v>0</v>
      </c>
      <c r="K61" s="37">
        <f>-SUM(J60:K60)*K$33</f>
        <v>0</v>
      </c>
      <c r="L61" s="51">
        <f>-SUM(L60:M60)*L$33</f>
        <v>0</v>
      </c>
      <c r="M61" s="37">
        <f>-SUM(L60:M60)*M$33</f>
        <v>0</v>
      </c>
      <c r="N61" s="80">
        <f>-N60*N$33</f>
        <v>0</v>
      </c>
      <c r="O61" s="375"/>
    </row>
    <row r="62" spans="1:15" ht="15">
      <c r="A62" s="375"/>
      <c r="B62" s="26"/>
      <c r="C62" s="51">
        <f>0.5*D61</f>
        <v>0</v>
      </c>
      <c r="D62" s="51">
        <f>0.5*C61</f>
        <v>0</v>
      </c>
      <c r="E62" s="37">
        <f>0.5*F61</f>
        <v>0.005156495858715211</v>
      </c>
      <c r="F62" s="51">
        <f>0.5*E61</f>
        <v>-0.17881719227629095</v>
      </c>
      <c r="G62" s="37">
        <f>0.5*H61</f>
        <v>-0.16689604612453818</v>
      </c>
      <c r="H62" s="51">
        <f>0.5*G61</f>
        <v>0.004812729468134196</v>
      </c>
      <c r="I62" s="37">
        <f>0.5*J61</f>
        <v>0</v>
      </c>
      <c r="J62" s="51">
        <f>0.5*I61</f>
        <v>0</v>
      </c>
      <c r="K62" s="37">
        <f>0.5*L61</f>
        <v>0</v>
      </c>
      <c r="L62" s="51">
        <f>0.5*K61</f>
        <v>0</v>
      </c>
      <c r="M62" s="37">
        <f>0.5*N61</f>
        <v>0</v>
      </c>
      <c r="N62" s="80">
        <f>0.5*M61</f>
        <v>0</v>
      </c>
      <c r="O62" s="375"/>
    </row>
    <row r="63" spans="1:15" ht="15">
      <c r="A63" s="375"/>
      <c r="B63" s="26"/>
      <c r="C63" s="51">
        <f>-C62*C$33</f>
        <v>0</v>
      </c>
      <c r="D63" s="51">
        <f>-SUM(D62:E62)*D$33</f>
        <v>0</v>
      </c>
      <c r="E63" s="37">
        <f>-SUM(D62:E62)*E$33</f>
        <v>-0.005156495858715211</v>
      </c>
      <c r="F63" s="51">
        <f>-SUM(F62:G62)*F$33</f>
        <v>0.17881719227629095</v>
      </c>
      <c r="G63" s="37">
        <f>-SUM(F62:G62)*G$33</f>
        <v>0.16689604612453818</v>
      </c>
      <c r="H63" s="51">
        <f>-SUM(H62:I62)*H$33</f>
        <v>-0.004812729468134196</v>
      </c>
      <c r="I63" s="37">
        <f>-SUM(H62:I62)*I$33</f>
        <v>0</v>
      </c>
      <c r="J63" s="51">
        <f>-SUM(J62:K62)*J$33</f>
        <v>0</v>
      </c>
      <c r="K63" s="37">
        <f>-SUM(J62:K62)*K$33</f>
        <v>0</v>
      </c>
      <c r="L63" s="51">
        <f>-SUM(L62:M62)*L$33</f>
        <v>0</v>
      </c>
      <c r="M63" s="37">
        <f>-SUM(L62:M62)*M$33</f>
        <v>0</v>
      </c>
      <c r="N63" s="80">
        <f>-N62*N$33</f>
        <v>0</v>
      </c>
      <c r="O63" s="375"/>
    </row>
    <row r="64" spans="1:15" ht="15">
      <c r="A64" s="375"/>
      <c r="B64" s="26"/>
      <c r="C64" s="51">
        <f>0.5*D63</f>
        <v>0</v>
      </c>
      <c r="D64" s="51">
        <f>0.5*C63</f>
        <v>0</v>
      </c>
      <c r="E64" s="37">
        <f>0.5*F63</f>
        <v>0.08940859613814547</v>
      </c>
      <c r="F64" s="51">
        <f>0.5*E63</f>
        <v>-0.0025782479293576053</v>
      </c>
      <c r="G64" s="37">
        <f>0.5*H63</f>
        <v>-0.002406364734067098</v>
      </c>
      <c r="H64" s="51">
        <f>0.5*G63</f>
        <v>0.08344802306226909</v>
      </c>
      <c r="I64" s="37">
        <f>0.5*J63</f>
        <v>0</v>
      </c>
      <c r="J64" s="51">
        <f>0.5*I63</f>
        <v>0</v>
      </c>
      <c r="K64" s="37">
        <f>0.5*L63</f>
        <v>0</v>
      </c>
      <c r="L64" s="51">
        <f>0.5*K63</f>
        <v>0</v>
      </c>
      <c r="M64" s="37">
        <f>0.5*N63</f>
        <v>0</v>
      </c>
      <c r="N64" s="80">
        <f>0.5*M63</f>
        <v>0</v>
      </c>
      <c r="O64" s="375"/>
    </row>
    <row r="65" spans="1:15" ht="15">
      <c r="A65" s="375"/>
      <c r="B65" s="26"/>
      <c r="C65" s="51">
        <f>-C64*C$33</f>
        <v>0</v>
      </c>
      <c r="D65" s="51">
        <f>-SUM(D64:E64)*D$33</f>
        <v>0</v>
      </c>
      <c r="E65" s="37">
        <f>-SUM(D64:E64)*E$33</f>
        <v>-0.08940859613814547</v>
      </c>
      <c r="F65" s="51">
        <f>-SUM(F64:G64)*F$33</f>
        <v>0.0025782479293576053</v>
      </c>
      <c r="G65" s="37">
        <f>-SUM(F64:G64)*G$33</f>
        <v>0.002406364734067098</v>
      </c>
      <c r="H65" s="51">
        <f>-SUM(H64:I64)*H$33</f>
        <v>-0.08344802306226909</v>
      </c>
      <c r="I65" s="37">
        <f>-SUM(H64:I64)*I$33</f>
        <v>0</v>
      </c>
      <c r="J65" s="51">
        <f>-SUM(J64:K64)*J$33</f>
        <v>0</v>
      </c>
      <c r="K65" s="37">
        <f>-SUM(J64:K64)*K$33</f>
        <v>0</v>
      </c>
      <c r="L65" s="51">
        <f>-SUM(L64:M64)*L$33</f>
        <v>0</v>
      </c>
      <c r="M65" s="37">
        <f>-SUM(L64:M64)*M$33</f>
        <v>0</v>
      </c>
      <c r="N65" s="80">
        <f>-N64*N$33</f>
        <v>0</v>
      </c>
      <c r="O65" s="375"/>
    </row>
    <row r="66" spans="1:15" ht="16.5" thickBot="1">
      <c r="A66" s="375"/>
      <c r="B66" s="559" t="s">
        <v>186</v>
      </c>
      <c r="C66" s="719">
        <f aca="true" t="shared" si="0" ref="C66:N66">SUM(C52:C65)</f>
        <v>0</v>
      </c>
      <c r="D66" s="719">
        <f t="shared" si="0"/>
        <v>16.4673875</v>
      </c>
      <c r="E66" s="720">
        <f t="shared" si="0"/>
        <v>-16.4673875</v>
      </c>
      <c r="F66" s="719">
        <f t="shared" si="0"/>
        <v>41.63650097111043</v>
      </c>
      <c r="G66" s="720">
        <f t="shared" si="0"/>
        <v>-41.63650097111043</v>
      </c>
      <c r="H66" s="719">
        <f t="shared" si="0"/>
        <v>0</v>
      </c>
      <c r="I66" s="720">
        <f t="shared" si="0"/>
        <v>0</v>
      </c>
      <c r="J66" s="719">
        <f t="shared" si="0"/>
        <v>0</v>
      </c>
      <c r="K66" s="720">
        <f t="shared" si="0"/>
        <v>0</v>
      </c>
      <c r="L66" s="719">
        <f t="shared" si="0"/>
        <v>0</v>
      </c>
      <c r="M66" s="720">
        <f t="shared" si="0"/>
        <v>0</v>
      </c>
      <c r="N66" s="723">
        <f t="shared" si="0"/>
        <v>0</v>
      </c>
      <c r="O66" s="375"/>
    </row>
    <row r="67" spans="1:15" ht="24" customHeight="1">
      <c r="A67" s="375"/>
      <c r="B67" s="539" t="str">
        <f>B$2</f>
        <v> Project</v>
      </c>
      <c r="C67" s="540" t="str">
        <f>C$2</f>
        <v>Spreadsheets to BS 8110</v>
      </c>
      <c r="D67" s="542"/>
      <c r="E67" s="542"/>
      <c r="F67" s="542"/>
      <c r="G67" s="541"/>
      <c r="H67" s="541"/>
      <c r="I67" s="541"/>
      <c r="J67" s="541"/>
      <c r="K67" s="542"/>
      <c r="L67" s="542"/>
      <c r="M67" s="542"/>
      <c r="N67" s="615"/>
      <c r="O67" s="375"/>
    </row>
    <row r="68" spans="1:15" ht="18">
      <c r="A68" s="375"/>
      <c r="B68" s="543" t="str">
        <f>B$3</f>
        <v> Location</v>
      </c>
      <c r="C68" s="544" t="str">
        <f>C$3</f>
        <v>3rd Floor slab,  from 1 to 5a</v>
      </c>
      <c r="D68" s="545"/>
      <c r="E68" s="545"/>
      <c r="F68" s="545"/>
      <c r="G68" s="122"/>
      <c r="H68" s="122"/>
      <c r="I68" s="717" t="s">
        <v>402</v>
      </c>
      <c r="J68" s="122"/>
      <c r="K68" s="122"/>
      <c r="L68" s="545"/>
      <c r="M68" s="545"/>
      <c r="N68" s="616"/>
      <c r="O68" s="375"/>
    </row>
    <row r="69" spans="1:15" ht="12.75">
      <c r="A69" s="375"/>
      <c r="B69" s="546"/>
      <c r="C69" s="547" t="str">
        <f>C$4</f>
        <v>RIBBED SLABS to BS 8110:1997 (Analysis &amp; Design)</v>
      </c>
      <c r="D69" s="545"/>
      <c r="E69" s="545"/>
      <c r="F69" s="545"/>
      <c r="G69" s="122"/>
      <c r="H69" s="122"/>
      <c r="I69" s="122"/>
      <c r="J69" s="122"/>
      <c r="K69" s="545"/>
      <c r="L69" s="122"/>
      <c r="M69" s="548" t="str">
        <f>M$4</f>
        <v>Made by  rmw    Job No  R68</v>
      </c>
      <c r="N69" s="616"/>
      <c r="O69" s="375"/>
    </row>
    <row r="70" spans="1:15" ht="13.5" thickBot="1">
      <c r="A70" s="375"/>
      <c r="B70" s="549"/>
      <c r="C70" s="550" t="str">
        <f>C$5</f>
        <v>Originated from  RCC32.xls v2.2 on CD               © 2000-2003 BCA for RCC</v>
      </c>
      <c r="D70" s="552"/>
      <c r="E70" s="552"/>
      <c r="F70" s="552"/>
      <c r="G70" s="551"/>
      <c r="H70" s="551"/>
      <c r="I70" s="551"/>
      <c r="J70" s="551"/>
      <c r="K70" s="552"/>
      <c r="L70" s="553" t="str">
        <f>L$5</f>
        <v> Date</v>
      </c>
      <c r="M70" s="826">
        <f>M$5</f>
        <v>39305</v>
      </c>
      <c r="N70" s="827"/>
      <c r="O70" s="375"/>
    </row>
    <row r="71" spans="1:15" ht="12.75">
      <c r="A71" s="375"/>
      <c r="B71" s="545"/>
      <c r="C71" s="554"/>
      <c r="D71" s="545"/>
      <c r="E71" s="545"/>
      <c r="F71" s="545"/>
      <c r="G71" s="122"/>
      <c r="H71" s="122"/>
      <c r="I71" s="122"/>
      <c r="J71" s="122"/>
      <c r="K71" s="545"/>
      <c r="L71" s="548"/>
      <c r="M71" s="555"/>
      <c r="N71" s="560"/>
      <c r="O71" s="375"/>
    </row>
    <row r="72" spans="1:15" ht="12.75">
      <c r="A72" s="375"/>
      <c r="B72" s="545"/>
      <c r="C72" s="554"/>
      <c r="D72" s="545"/>
      <c r="E72" s="545"/>
      <c r="F72" s="545"/>
      <c r="G72" s="122"/>
      <c r="H72" s="122"/>
      <c r="I72" s="122"/>
      <c r="J72" s="122"/>
      <c r="K72" s="545"/>
      <c r="L72" s="548"/>
      <c r="M72" s="555"/>
      <c r="N72" s="560"/>
      <c r="O72" s="375"/>
    </row>
    <row r="73" spans="1:15" ht="15">
      <c r="A73" s="375"/>
      <c r="B73" s="75" t="s">
        <v>193</v>
      </c>
      <c r="C73" s="32">
        <f>-C48</f>
        <v>0</v>
      </c>
      <c r="D73" s="32">
        <f>D48</f>
        <v>19.386955</v>
      </c>
      <c r="E73" s="78"/>
      <c r="F73" s="32"/>
      <c r="G73" s="78">
        <f>-G48</f>
        <v>-41.85622534722223</v>
      </c>
      <c r="H73" s="32">
        <f>H48</f>
        <v>41.85622534722223</v>
      </c>
      <c r="I73" s="78"/>
      <c r="J73" s="32"/>
      <c r="K73" s="78">
        <f>-K48</f>
        <v>0</v>
      </c>
      <c r="L73" s="32">
        <f>L48</f>
        <v>0</v>
      </c>
      <c r="M73" s="78"/>
      <c r="N73" s="79"/>
      <c r="O73" s="375"/>
    </row>
    <row r="74" spans="1:15" ht="15">
      <c r="A74" s="375"/>
      <c r="B74" s="75" t="s">
        <v>194</v>
      </c>
      <c r="C74" s="51">
        <f>-C73*C$33</f>
        <v>0</v>
      </c>
      <c r="D74" s="51">
        <f>-SUM(D73:E73)*D$33</f>
        <v>0</v>
      </c>
      <c r="E74" s="37">
        <f>-SUM(D73:E73)*E$33</f>
        <v>-19.386955</v>
      </c>
      <c r="F74" s="51">
        <f>-SUM(F73:G73)*F$33</f>
        <v>21.649771731321845</v>
      </c>
      <c r="G74" s="37">
        <f>-SUM(F73:G73)*G$33</f>
        <v>20.206453615900383</v>
      </c>
      <c r="H74" s="51">
        <f>-SUM(H73:I73)*H$33</f>
        <v>-41.85622534722223</v>
      </c>
      <c r="I74" s="37">
        <f>-SUM(H73:I73)*I$33</f>
        <v>0</v>
      </c>
      <c r="J74" s="51">
        <f>-SUM(J73:K73)*J$33</f>
        <v>0</v>
      </c>
      <c r="K74" s="37">
        <f>-SUM(J73:K73)*K$33</f>
        <v>0</v>
      </c>
      <c r="L74" s="51">
        <f>-SUM(L73:M73)*L$33</f>
        <v>0</v>
      </c>
      <c r="M74" s="37">
        <f>-SUM(L73:M73)*M$33</f>
        <v>0</v>
      </c>
      <c r="N74" s="80">
        <f>-N73*N$33</f>
        <v>0</v>
      </c>
      <c r="O74" s="375"/>
    </row>
    <row r="75" spans="1:15" ht="15">
      <c r="A75" s="375"/>
      <c r="B75" s="26"/>
      <c r="C75" s="51">
        <f>0.5*D74</f>
        <v>0</v>
      </c>
      <c r="D75" s="51">
        <f>0.5*C74</f>
        <v>0</v>
      </c>
      <c r="E75" s="37">
        <f>0.5*F74</f>
        <v>10.824885865660923</v>
      </c>
      <c r="F75" s="51">
        <f>0.5*E74</f>
        <v>-9.6934775</v>
      </c>
      <c r="G75" s="37">
        <f>0.5*H74</f>
        <v>-20.928112673611114</v>
      </c>
      <c r="H75" s="51">
        <f>0.5*G74</f>
        <v>10.103226807950191</v>
      </c>
      <c r="I75" s="37">
        <f>0.5*J74</f>
        <v>0</v>
      </c>
      <c r="J75" s="51">
        <f>0.5*I74</f>
        <v>0</v>
      </c>
      <c r="K75" s="37">
        <f>0.5*L74</f>
        <v>0</v>
      </c>
      <c r="L75" s="51">
        <f>0.5*K74</f>
        <v>0</v>
      </c>
      <c r="M75" s="37">
        <f>0.5*N74</f>
        <v>0</v>
      </c>
      <c r="N75" s="80">
        <f>0.5*M74</f>
        <v>0</v>
      </c>
      <c r="O75" s="375"/>
    </row>
    <row r="76" spans="1:15" ht="15">
      <c r="A76" s="375"/>
      <c r="B76" s="26"/>
      <c r="C76" s="51">
        <f>-C75*C$33</f>
        <v>0</v>
      </c>
      <c r="D76" s="51">
        <f>-SUM(D75:E75)*D$33</f>
        <v>0</v>
      </c>
      <c r="E76" s="37">
        <f>-SUM(D75:E75)*E$33</f>
        <v>-10.824885865660923</v>
      </c>
      <c r="F76" s="51">
        <f>-SUM(F75:G75)*F$33</f>
        <v>15.838753538074716</v>
      </c>
      <c r="G76" s="37">
        <f>-SUM(F75:G75)*G$33</f>
        <v>14.782836635536398</v>
      </c>
      <c r="H76" s="51">
        <f>-SUM(H75:I75)*H$33</f>
        <v>-10.103226807950191</v>
      </c>
      <c r="I76" s="37">
        <f>-SUM(H75:I75)*I$33</f>
        <v>0</v>
      </c>
      <c r="J76" s="51">
        <f>-SUM(J75:K75)*J$33</f>
        <v>0</v>
      </c>
      <c r="K76" s="37">
        <f>-SUM(J75:K75)*K$33</f>
        <v>0</v>
      </c>
      <c r="L76" s="51">
        <f>-SUM(L75:M75)*L$33</f>
        <v>0</v>
      </c>
      <c r="M76" s="37">
        <f>-SUM(L75:M75)*M$33</f>
        <v>0</v>
      </c>
      <c r="N76" s="80">
        <f>-N75*N$33</f>
        <v>0</v>
      </c>
      <c r="O76" s="375"/>
    </row>
    <row r="77" spans="1:15" ht="15">
      <c r="A77" s="375"/>
      <c r="B77" s="26"/>
      <c r="C77" s="51">
        <f>0.5*D76</f>
        <v>0</v>
      </c>
      <c r="D77" s="51">
        <f>0.5*C76</f>
        <v>0</v>
      </c>
      <c r="E77" s="37">
        <f>0.5*F76</f>
        <v>7.919376769037358</v>
      </c>
      <c r="F77" s="51">
        <f>0.5*E76</f>
        <v>-5.412442932830461</v>
      </c>
      <c r="G77" s="37">
        <f>0.5*H76</f>
        <v>-5.051613403975096</v>
      </c>
      <c r="H77" s="51">
        <f>0.5*G76</f>
        <v>7.391418317768199</v>
      </c>
      <c r="I77" s="37">
        <f>0.5*J76</f>
        <v>0</v>
      </c>
      <c r="J77" s="51">
        <f>0.5*I76</f>
        <v>0</v>
      </c>
      <c r="K77" s="37">
        <f>0.5*L76</f>
        <v>0</v>
      </c>
      <c r="L77" s="51">
        <f>0.5*K76</f>
        <v>0</v>
      </c>
      <c r="M77" s="37">
        <f>0.5*N76</f>
        <v>0</v>
      </c>
      <c r="N77" s="80">
        <f>0.5*M76</f>
        <v>0</v>
      </c>
      <c r="O77" s="375"/>
    </row>
    <row r="78" spans="1:15" ht="15">
      <c r="A78" s="375"/>
      <c r="B78" s="26"/>
      <c r="C78" s="51">
        <f>-C77*C$33</f>
        <v>0</v>
      </c>
      <c r="D78" s="51">
        <f>-SUM(D77:E77)*D$33</f>
        <v>0</v>
      </c>
      <c r="E78" s="37">
        <f>-SUM(D77:E77)*E$33</f>
        <v>-7.919376769037358</v>
      </c>
      <c r="F78" s="51">
        <f>-SUM(F77:G77)*F$33</f>
        <v>5.412442932830461</v>
      </c>
      <c r="G78" s="37">
        <f>-SUM(F77:G77)*G$33</f>
        <v>5.051613403975096</v>
      </c>
      <c r="H78" s="51">
        <f>-SUM(H77:I77)*H$33</f>
        <v>-7.391418317768199</v>
      </c>
      <c r="I78" s="37">
        <f>-SUM(H77:I77)*I$33</f>
        <v>0</v>
      </c>
      <c r="J78" s="51">
        <f>-SUM(J77:K77)*J$33</f>
        <v>0</v>
      </c>
      <c r="K78" s="37">
        <f>-SUM(J77:K77)*K$33</f>
        <v>0</v>
      </c>
      <c r="L78" s="51">
        <f>-SUM(L77:M77)*L$33</f>
        <v>0</v>
      </c>
      <c r="M78" s="37">
        <f>-SUM(L77:M77)*M$33</f>
        <v>0</v>
      </c>
      <c r="N78" s="80">
        <f>-N77*N$33</f>
        <v>0</v>
      </c>
      <c r="O78" s="375"/>
    </row>
    <row r="79" spans="1:15" ht="15">
      <c r="A79" s="375"/>
      <c r="B79" s="26"/>
      <c r="C79" s="51">
        <f>0.5*D78</f>
        <v>0</v>
      </c>
      <c r="D79" s="51">
        <f>0.5*C78</f>
        <v>0</v>
      </c>
      <c r="E79" s="37">
        <f>0.5*F78</f>
        <v>2.7062214664152306</v>
      </c>
      <c r="F79" s="51">
        <f>0.5*E78</f>
        <v>-3.959688384518679</v>
      </c>
      <c r="G79" s="37">
        <f>0.5*H78</f>
        <v>-3.6957091588840996</v>
      </c>
      <c r="H79" s="51">
        <f>0.5*G78</f>
        <v>2.525806701987548</v>
      </c>
      <c r="I79" s="37">
        <f>0.5*J78</f>
        <v>0</v>
      </c>
      <c r="J79" s="51">
        <f>0.5*I78</f>
        <v>0</v>
      </c>
      <c r="K79" s="37">
        <f>0.5*L78</f>
        <v>0</v>
      </c>
      <c r="L79" s="51">
        <f>0.5*K78</f>
        <v>0</v>
      </c>
      <c r="M79" s="37">
        <f>0.5*N78</f>
        <v>0</v>
      </c>
      <c r="N79" s="80">
        <f>0.5*M78</f>
        <v>0</v>
      </c>
      <c r="O79" s="375"/>
    </row>
    <row r="80" spans="1:15" ht="15">
      <c r="A80" s="375"/>
      <c r="B80" s="26"/>
      <c r="C80" s="51">
        <f>-C79*C$33</f>
        <v>0</v>
      </c>
      <c r="D80" s="51">
        <f>-SUM(D79:E79)*D$33</f>
        <v>0</v>
      </c>
      <c r="E80" s="37">
        <f>-SUM(D79:E79)*E$33</f>
        <v>-2.7062214664152306</v>
      </c>
      <c r="F80" s="51">
        <f>-SUM(F79:G79)*F$33</f>
        <v>3.959688384518679</v>
      </c>
      <c r="G80" s="37">
        <f>-SUM(F79:G79)*G$33</f>
        <v>3.6957091588840996</v>
      </c>
      <c r="H80" s="51">
        <f>-SUM(H79:I79)*H$33</f>
        <v>-2.525806701987548</v>
      </c>
      <c r="I80" s="37">
        <f>-SUM(H79:I79)*I$33</f>
        <v>0</v>
      </c>
      <c r="J80" s="51">
        <f>-SUM(J79:K79)*J$33</f>
        <v>0</v>
      </c>
      <c r="K80" s="37">
        <f>-SUM(J79:K79)*K$33</f>
        <v>0</v>
      </c>
      <c r="L80" s="51">
        <f>-SUM(L79:M79)*L$33</f>
        <v>0</v>
      </c>
      <c r="M80" s="37">
        <f>-SUM(L79:M79)*M$33</f>
        <v>0</v>
      </c>
      <c r="N80" s="80">
        <f>-N79*N$33</f>
        <v>0</v>
      </c>
      <c r="O80" s="375"/>
    </row>
    <row r="81" spans="1:15" ht="15">
      <c r="A81" s="375"/>
      <c r="B81" s="26"/>
      <c r="C81" s="51">
        <f>0.5*D80</f>
        <v>0</v>
      </c>
      <c r="D81" s="51">
        <f>0.5*C80</f>
        <v>0</v>
      </c>
      <c r="E81" s="37">
        <f>0.5*F80</f>
        <v>1.9798441922593395</v>
      </c>
      <c r="F81" s="51">
        <f>0.5*E80</f>
        <v>-1.3531107332076153</v>
      </c>
      <c r="G81" s="37">
        <f>0.5*H80</f>
        <v>-1.262903350993774</v>
      </c>
      <c r="H81" s="51">
        <f>0.5*G80</f>
        <v>1.8478545794420498</v>
      </c>
      <c r="I81" s="37">
        <f>0.5*J80</f>
        <v>0</v>
      </c>
      <c r="J81" s="51">
        <f>0.5*I80</f>
        <v>0</v>
      </c>
      <c r="K81" s="37">
        <f>0.5*L80</f>
        <v>0</v>
      </c>
      <c r="L81" s="51">
        <f>0.5*K80</f>
        <v>0</v>
      </c>
      <c r="M81" s="37">
        <f>0.5*N80</f>
        <v>0</v>
      </c>
      <c r="N81" s="80">
        <f>0.5*M80</f>
        <v>0</v>
      </c>
      <c r="O81" s="375"/>
    </row>
    <row r="82" spans="1:15" ht="15">
      <c r="A82" s="375"/>
      <c r="B82" s="26"/>
      <c r="C82" s="51">
        <f>-C81*C$33</f>
        <v>0</v>
      </c>
      <c r="D82" s="51">
        <f>-SUM(D81:E81)*D$33</f>
        <v>0</v>
      </c>
      <c r="E82" s="37">
        <f>-SUM(D81:E81)*E$33</f>
        <v>-1.9798441922593395</v>
      </c>
      <c r="F82" s="51">
        <f>-SUM(F81:G81)*F$33</f>
        <v>1.3531107332076153</v>
      </c>
      <c r="G82" s="37">
        <f>-SUM(F81:G81)*G$33</f>
        <v>1.262903350993774</v>
      </c>
      <c r="H82" s="51">
        <f>-SUM(H81:I81)*H$33</f>
        <v>-1.8478545794420498</v>
      </c>
      <c r="I82" s="37">
        <f>-SUM(H81:I81)*I$33</f>
        <v>0</v>
      </c>
      <c r="J82" s="51">
        <f>-SUM(J81:K81)*J$33</f>
        <v>0</v>
      </c>
      <c r="K82" s="37">
        <f>-SUM(J81:K81)*K$33</f>
        <v>0</v>
      </c>
      <c r="L82" s="51">
        <f>-SUM(L81:M81)*L$33</f>
        <v>0</v>
      </c>
      <c r="M82" s="37">
        <f>-SUM(L81:M81)*M$33</f>
        <v>0</v>
      </c>
      <c r="N82" s="80">
        <f>-N81*N$33</f>
        <v>0</v>
      </c>
      <c r="O82" s="375"/>
    </row>
    <row r="83" spans="1:15" ht="15">
      <c r="A83" s="375"/>
      <c r="B83" s="26"/>
      <c r="C83" s="51">
        <f>0.5*D82</f>
        <v>0</v>
      </c>
      <c r="D83" s="51">
        <f>0.5*C82</f>
        <v>0</v>
      </c>
      <c r="E83" s="37">
        <f>0.5*F82</f>
        <v>0.6765553666038077</v>
      </c>
      <c r="F83" s="51">
        <f>0.5*E82</f>
        <v>-0.9899220961296697</v>
      </c>
      <c r="G83" s="37">
        <f>0.5*H82</f>
        <v>-0.9239272897210249</v>
      </c>
      <c r="H83" s="51">
        <f>0.5*G82</f>
        <v>0.631451675496887</v>
      </c>
      <c r="I83" s="37">
        <f>0.5*J82</f>
        <v>0</v>
      </c>
      <c r="J83" s="51">
        <f>0.5*I82</f>
        <v>0</v>
      </c>
      <c r="K83" s="37">
        <f>0.5*L82</f>
        <v>0</v>
      </c>
      <c r="L83" s="51">
        <f>0.5*K82</f>
        <v>0</v>
      </c>
      <c r="M83" s="37">
        <f>0.5*N82</f>
        <v>0</v>
      </c>
      <c r="N83" s="80">
        <f>0.5*M82</f>
        <v>0</v>
      </c>
      <c r="O83" s="375"/>
    </row>
    <row r="84" spans="1:15" ht="15">
      <c r="A84" s="375"/>
      <c r="B84" s="26"/>
      <c r="C84" s="51">
        <f>-C83*C$33</f>
        <v>0</v>
      </c>
      <c r="D84" s="51">
        <f>-SUM(D83:E83)*D$33</f>
        <v>0</v>
      </c>
      <c r="E84" s="37">
        <f>-SUM(D83:E83)*E$33</f>
        <v>-0.6765553666038077</v>
      </c>
      <c r="F84" s="51">
        <f>-SUM(F83:G83)*F$33</f>
        <v>0.9899220961296697</v>
      </c>
      <c r="G84" s="37">
        <f>-SUM(F83:G83)*G$33</f>
        <v>0.9239272897210249</v>
      </c>
      <c r="H84" s="51">
        <f>-SUM(H83:I83)*H$33</f>
        <v>-0.631451675496887</v>
      </c>
      <c r="I84" s="37">
        <f>-SUM(H83:I83)*I$33</f>
        <v>0</v>
      </c>
      <c r="J84" s="51">
        <f>-SUM(J83:K83)*J$33</f>
        <v>0</v>
      </c>
      <c r="K84" s="37">
        <f>-SUM(J83:K83)*K$33</f>
        <v>0</v>
      </c>
      <c r="L84" s="51">
        <f>-SUM(L83:M83)*L$33</f>
        <v>0</v>
      </c>
      <c r="M84" s="37">
        <f>-SUM(L83:M83)*M$33</f>
        <v>0</v>
      </c>
      <c r="N84" s="80">
        <f>-N83*N$33</f>
        <v>0</v>
      </c>
      <c r="O84" s="375"/>
    </row>
    <row r="85" spans="1:15" ht="15">
      <c r="A85" s="375"/>
      <c r="B85" s="26"/>
      <c r="C85" s="51">
        <f>0.5*D84</f>
        <v>0</v>
      </c>
      <c r="D85" s="51">
        <f>0.5*C84</f>
        <v>0</v>
      </c>
      <c r="E85" s="37">
        <f>0.5*F84</f>
        <v>0.4949610480648349</v>
      </c>
      <c r="F85" s="51">
        <f>0.5*E84</f>
        <v>-0.33827768330190383</v>
      </c>
      <c r="G85" s="37">
        <f>0.5*H84</f>
        <v>-0.3157258377484435</v>
      </c>
      <c r="H85" s="51">
        <f>0.5*G84</f>
        <v>0.46196364486051245</v>
      </c>
      <c r="I85" s="37">
        <f>0.5*J84</f>
        <v>0</v>
      </c>
      <c r="J85" s="51">
        <f>0.5*I84</f>
        <v>0</v>
      </c>
      <c r="K85" s="37">
        <f>0.5*L84</f>
        <v>0</v>
      </c>
      <c r="L85" s="51">
        <f>0.5*K84</f>
        <v>0</v>
      </c>
      <c r="M85" s="37">
        <f>0.5*N84</f>
        <v>0</v>
      </c>
      <c r="N85" s="80">
        <f>0.5*M84</f>
        <v>0</v>
      </c>
      <c r="O85" s="375"/>
    </row>
    <row r="86" spans="1:15" ht="15">
      <c r="A86" s="375"/>
      <c r="B86" s="26"/>
      <c r="C86" s="51">
        <f>-C85*C$33</f>
        <v>0</v>
      </c>
      <c r="D86" s="51">
        <f>-SUM(D85:E85)*D$33</f>
        <v>0</v>
      </c>
      <c r="E86" s="37">
        <f>-SUM(D85:E85)*E$33</f>
        <v>-0.4949610480648349</v>
      </c>
      <c r="F86" s="51">
        <f>-SUM(F85:G85)*F$33</f>
        <v>0.33827768330190383</v>
      </c>
      <c r="G86" s="37">
        <f>-SUM(F85:G85)*G$33</f>
        <v>0.3157258377484435</v>
      </c>
      <c r="H86" s="51">
        <f>-SUM(H85:I85)*H$33</f>
        <v>-0.46196364486051245</v>
      </c>
      <c r="I86" s="37">
        <f>-SUM(H85:I85)*I$33</f>
        <v>0</v>
      </c>
      <c r="J86" s="51">
        <f>-SUM(J85:K85)*J$33</f>
        <v>0</v>
      </c>
      <c r="K86" s="37">
        <f>-SUM(J85:K85)*K$33</f>
        <v>0</v>
      </c>
      <c r="L86" s="51">
        <f>-SUM(L85:M85)*L$33</f>
        <v>0</v>
      </c>
      <c r="M86" s="37">
        <f>-SUM(L85:M85)*M$33</f>
        <v>0</v>
      </c>
      <c r="N86" s="80">
        <f>-N85*N$33</f>
        <v>0</v>
      </c>
      <c r="O86" s="375"/>
    </row>
    <row r="87" spans="1:15" ht="16.5" thickBot="1">
      <c r="A87" s="375"/>
      <c r="B87" s="81" t="s">
        <v>186</v>
      </c>
      <c r="C87" s="724">
        <f aca="true" t="shared" si="1" ref="C87:N87">SUM(C73:C86)</f>
        <v>0</v>
      </c>
      <c r="D87" s="724">
        <f t="shared" si="1"/>
        <v>19.386955</v>
      </c>
      <c r="E87" s="725">
        <f t="shared" si="1"/>
        <v>-19.386955</v>
      </c>
      <c r="F87" s="724">
        <f t="shared" si="1"/>
        <v>27.79504776939656</v>
      </c>
      <c r="G87" s="725">
        <f t="shared" si="1"/>
        <v>-27.79504776939656</v>
      </c>
      <c r="H87" s="724">
        <f t="shared" si="1"/>
        <v>0</v>
      </c>
      <c r="I87" s="725">
        <f t="shared" si="1"/>
        <v>0</v>
      </c>
      <c r="J87" s="724">
        <f t="shared" si="1"/>
        <v>0</v>
      </c>
      <c r="K87" s="725">
        <f t="shared" si="1"/>
        <v>0</v>
      </c>
      <c r="L87" s="724">
        <f t="shared" si="1"/>
        <v>0</v>
      </c>
      <c r="M87" s="725">
        <f t="shared" si="1"/>
        <v>0</v>
      </c>
      <c r="N87" s="726">
        <f t="shared" si="1"/>
        <v>0</v>
      </c>
      <c r="O87" s="375"/>
    </row>
    <row r="88" spans="1:15" ht="15.75" thickTop="1">
      <c r="A88" s="375"/>
      <c r="B88" s="75" t="s">
        <v>193</v>
      </c>
      <c r="C88" s="32"/>
      <c r="D88" s="32"/>
      <c r="E88" s="78">
        <f>-E48</f>
        <v>-41.60978831065759</v>
      </c>
      <c r="F88" s="32">
        <f>F48</f>
        <v>38.2429770861678</v>
      </c>
      <c r="G88" s="78"/>
      <c r="H88" s="32"/>
      <c r="I88" s="78">
        <f>-I48</f>
        <v>0</v>
      </c>
      <c r="J88" s="32">
        <f>J48</f>
        <v>0</v>
      </c>
      <c r="K88" s="78"/>
      <c r="L88" s="32"/>
      <c r="M88" s="78">
        <f>-M48</f>
        <v>0</v>
      </c>
      <c r="N88" s="79">
        <f>N48</f>
        <v>0</v>
      </c>
      <c r="O88" s="375"/>
    </row>
    <row r="89" spans="1:15" ht="15">
      <c r="A89" s="375"/>
      <c r="B89" s="75" t="s">
        <v>195</v>
      </c>
      <c r="C89" s="51">
        <f>-C88*C$33</f>
        <v>0</v>
      </c>
      <c r="D89" s="51">
        <f>-SUM(D88:E88)*D$33</f>
        <v>0</v>
      </c>
      <c r="E89" s="37">
        <f>-SUM(D88:E88)*E$33</f>
        <v>41.60978831065759</v>
      </c>
      <c r="F89" s="51">
        <f>-SUM(F88:G88)*F$33</f>
        <v>-19.780850216983346</v>
      </c>
      <c r="G89" s="37">
        <f>-SUM(F88:G88)*G$33</f>
        <v>-18.462126869184452</v>
      </c>
      <c r="H89" s="51">
        <f>-SUM(H88:I88)*H$33</f>
        <v>0</v>
      </c>
      <c r="I89" s="37">
        <f>-SUM(H88:I88)*I$33</f>
        <v>0</v>
      </c>
      <c r="J89" s="51">
        <f>-SUM(J88:K88)*J$33</f>
        <v>0</v>
      </c>
      <c r="K89" s="37">
        <f>-SUM(J88:K88)*K$33</f>
        <v>0</v>
      </c>
      <c r="L89" s="51">
        <f>-SUM(L88:M88)*L$33</f>
        <v>0</v>
      </c>
      <c r="M89" s="37">
        <f>-SUM(L88:M88)*M$33</f>
        <v>0</v>
      </c>
      <c r="N89" s="80">
        <f>-N88*N$33</f>
        <v>0</v>
      </c>
      <c r="O89" s="375"/>
    </row>
    <row r="90" spans="1:15" ht="15">
      <c r="A90" s="375"/>
      <c r="B90" s="26"/>
      <c r="C90" s="51">
        <f>0.5*D89</f>
        <v>0</v>
      </c>
      <c r="D90" s="51">
        <f>0.5*C89</f>
        <v>0</v>
      </c>
      <c r="E90" s="37">
        <f>0.5*F89</f>
        <v>-9.890425108491673</v>
      </c>
      <c r="F90" s="51">
        <f>0.5*E89</f>
        <v>20.804894155328796</v>
      </c>
      <c r="G90" s="37">
        <f>0.5*H89</f>
        <v>0</v>
      </c>
      <c r="H90" s="51">
        <f>0.5*G89</f>
        <v>-9.231063434592226</v>
      </c>
      <c r="I90" s="37">
        <f>0.5*J89</f>
        <v>0</v>
      </c>
      <c r="J90" s="51">
        <f>0.5*I89</f>
        <v>0</v>
      </c>
      <c r="K90" s="37">
        <f>0.5*L89</f>
        <v>0</v>
      </c>
      <c r="L90" s="51">
        <f>0.5*K89</f>
        <v>0</v>
      </c>
      <c r="M90" s="37">
        <f>0.5*N89</f>
        <v>0</v>
      </c>
      <c r="N90" s="80">
        <f>0.5*M89</f>
        <v>0</v>
      </c>
      <c r="O90" s="375"/>
    </row>
    <row r="91" spans="1:15" ht="15">
      <c r="A91" s="375"/>
      <c r="B91" s="26"/>
      <c r="C91" s="51">
        <f>-C90*C$33</f>
        <v>0</v>
      </c>
      <c r="D91" s="51">
        <f>-SUM(D90:E90)*D$33</f>
        <v>0</v>
      </c>
      <c r="E91" s="37">
        <f>-SUM(D90:E90)*E$33</f>
        <v>9.890425108491673</v>
      </c>
      <c r="F91" s="51">
        <f>-SUM(F90:G90)*F$33</f>
        <v>-10.761152149307998</v>
      </c>
      <c r="G91" s="37">
        <f>-SUM(F90:G90)*G$33</f>
        <v>-10.043742006020798</v>
      </c>
      <c r="H91" s="51">
        <f>-SUM(H90:I90)*H$33</f>
        <v>9.231063434592226</v>
      </c>
      <c r="I91" s="37">
        <f>-SUM(H90:I90)*I$33</f>
        <v>0</v>
      </c>
      <c r="J91" s="51">
        <f>-SUM(J90:K90)*J$33</f>
        <v>0</v>
      </c>
      <c r="K91" s="37">
        <f>-SUM(J90:K90)*K$33</f>
        <v>0</v>
      </c>
      <c r="L91" s="51">
        <f>-SUM(L90:M90)*L$33</f>
        <v>0</v>
      </c>
      <c r="M91" s="37">
        <f>-SUM(L90:M90)*M$33</f>
        <v>0</v>
      </c>
      <c r="N91" s="80">
        <f>-N90*N$33</f>
        <v>0</v>
      </c>
      <c r="O91" s="375"/>
    </row>
    <row r="92" spans="1:15" ht="15">
      <c r="A92" s="375"/>
      <c r="B92" s="26"/>
      <c r="C92" s="51">
        <f>0.5*D91</f>
        <v>0</v>
      </c>
      <c r="D92" s="51">
        <f>0.5*C91</f>
        <v>0</v>
      </c>
      <c r="E92" s="37">
        <f>0.5*F91</f>
        <v>-5.380576074653999</v>
      </c>
      <c r="F92" s="51">
        <f>0.5*E91</f>
        <v>4.9452125542458365</v>
      </c>
      <c r="G92" s="37">
        <f>0.5*H91</f>
        <v>4.615531717296113</v>
      </c>
      <c r="H92" s="51">
        <f>0.5*G91</f>
        <v>-5.021871003010399</v>
      </c>
      <c r="I92" s="37">
        <f>0.5*J91</f>
        <v>0</v>
      </c>
      <c r="J92" s="51">
        <f>0.5*I91</f>
        <v>0</v>
      </c>
      <c r="K92" s="37">
        <f>0.5*L91</f>
        <v>0</v>
      </c>
      <c r="L92" s="51">
        <f>0.5*K91</f>
        <v>0</v>
      </c>
      <c r="M92" s="37">
        <f>0.5*N91</f>
        <v>0</v>
      </c>
      <c r="N92" s="80">
        <f>0.5*M91</f>
        <v>0</v>
      </c>
      <c r="O92" s="375"/>
    </row>
    <row r="93" spans="1:15" ht="15">
      <c r="A93" s="375"/>
      <c r="B93" s="26"/>
      <c r="C93" s="51">
        <f>-C92*C$33</f>
        <v>0</v>
      </c>
      <c r="D93" s="51">
        <f>-SUM(D92:E92)*D$33</f>
        <v>0</v>
      </c>
      <c r="E93" s="37">
        <f>-SUM(D92:E92)*E$33</f>
        <v>5.380576074653999</v>
      </c>
      <c r="F93" s="51">
        <f>-SUM(F92:G92)*F$33</f>
        <v>-4.9452125542458365</v>
      </c>
      <c r="G93" s="37">
        <f>-SUM(F92:G92)*G$33</f>
        <v>-4.615531717296113</v>
      </c>
      <c r="H93" s="51">
        <f>-SUM(H92:I92)*H$33</f>
        <v>5.021871003010399</v>
      </c>
      <c r="I93" s="37">
        <f>-SUM(H92:I92)*I$33</f>
        <v>0</v>
      </c>
      <c r="J93" s="51">
        <f>-SUM(J92:K92)*J$33</f>
        <v>0</v>
      </c>
      <c r="K93" s="37">
        <f>-SUM(J92:K92)*K$33</f>
        <v>0</v>
      </c>
      <c r="L93" s="51">
        <f>-SUM(L92:M92)*L$33</f>
        <v>0</v>
      </c>
      <c r="M93" s="37">
        <f>-SUM(L92:M92)*M$33</f>
        <v>0</v>
      </c>
      <c r="N93" s="80">
        <f>-N92*N$33</f>
        <v>0</v>
      </c>
      <c r="O93" s="375"/>
    </row>
    <row r="94" spans="1:15" ht="15">
      <c r="A94" s="375"/>
      <c r="B94" s="26"/>
      <c r="C94" s="51">
        <f>0.5*D93</f>
        <v>0</v>
      </c>
      <c r="D94" s="51">
        <f>0.5*C93</f>
        <v>0</v>
      </c>
      <c r="E94" s="37">
        <f>0.5*F93</f>
        <v>-2.4726062771229183</v>
      </c>
      <c r="F94" s="51">
        <f>0.5*E93</f>
        <v>2.6902880373269995</v>
      </c>
      <c r="G94" s="37">
        <f>0.5*H93</f>
        <v>2.5109355015051995</v>
      </c>
      <c r="H94" s="51">
        <f>0.5*G93</f>
        <v>-2.3077658586480565</v>
      </c>
      <c r="I94" s="37">
        <f>0.5*J93</f>
        <v>0</v>
      </c>
      <c r="J94" s="51">
        <f>0.5*I93</f>
        <v>0</v>
      </c>
      <c r="K94" s="37">
        <f>0.5*L93</f>
        <v>0</v>
      </c>
      <c r="L94" s="51">
        <f>0.5*K93</f>
        <v>0</v>
      </c>
      <c r="M94" s="37">
        <f>0.5*N93</f>
        <v>0</v>
      </c>
      <c r="N94" s="80">
        <f>0.5*M93</f>
        <v>0</v>
      </c>
      <c r="O94" s="375"/>
    </row>
    <row r="95" spans="1:15" ht="15">
      <c r="A95" s="375"/>
      <c r="B95" s="26"/>
      <c r="C95" s="51">
        <f>-C94*C$33</f>
        <v>0</v>
      </c>
      <c r="D95" s="51">
        <f>-SUM(D94:E94)*D$33</f>
        <v>0</v>
      </c>
      <c r="E95" s="37">
        <f>-SUM(D94:E94)*E$33</f>
        <v>2.4726062771229183</v>
      </c>
      <c r="F95" s="51">
        <f>-SUM(F94:G94)*F$33</f>
        <v>-2.6902880373269995</v>
      </c>
      <c r="G95" s="37">
        <f>-SUM(F94:G94)*G$33</f>
        <v>-2.5109355015051995</v>
      </c>
      <c r="H95" s="51">
        <f>-SUM(H94:I94)*H$33</f>
        <v>2.3077658586480565</v>
      </c>
      <c r="I95" s="37">
        <f>-SUM(H94:I94)*I$33</f>
        <v>0</v>
      </c>
      <c r="J95" s="51">
        <f>-SUM(J94:K94)*J$33</f>
        <v>0</v>
      </c>
      <c r="K95" s="37">
        <f>-SUM(J94:K94)*K$33</f>
        <v>0</v>
      </c>
      <c r="L95" s="51">
        <f>-SUM(L94:M94)*L$33</f>
        <v>0</v>
      </c>
      <c r="M95" s="37">
        <f>-SUM(L94:M94)*M$33</f>
        <v>0</v>
      </c>
      <c r="N95" s="80">
        <f>-N94*N$33</f>
        <v>0</v>
      </c>
      <c r="O95" s="375"/>
    </row>
    <row r="96" spans="1:15" ht="15">
      <c r="A96" s="375"/>
      <c r="B96" s="26"/>
      <c r="C96" s="51">
        <f>0.5*D95</f>
        <v>0</v>
      </c>
      <c r="D96" s="51">
        <f>0.5*C95</f>
        <v>0</v>
      </c>
      <c r="E96" s="37">
        <f>0.5*F95</f>
        <v>-1.3451440186634998</v>
      </c>
      <c r="F96" s="51">
        <f>0.5*E95</f>
        <v>1.2363031385614591</v>
      </c>
      <c r="G96" s="37">
        <f>0.5*H95</f>
        <v>1.1538829293240283</v>
      </c>
      <c r="H96" s="51">
        <f>0.5*G95</f>
        <v>-1.2554677507525998</v>
      </c>
      <c r="I96" s="37">
        <f>0.5*J95</f>
        <v>0</v>
      </c>
      <c r="J96" s="51">
        <f>0.5*I95</f>
        <v>0</v>
      </c>
      <c r="K96" s="37">
        <f>0.5*L95</f>
        <v>0</v>
      </c>
      <c r="L96" s="51">
        <f>0.5*K95</f>
        <v>0</v>
      </c>
      <c r="M96" s="37">
        <f>0.5*N95</f>
        <v>0</v>
      </c>
      <c r="N96" s="80">
        <f>0.5*M95</f>
        <v>0</v>
      </c>
      <c r="O96" s="375"/>
    </row>
    <row r="97" spans="1:15" ht="15">
      <c r="A97" s="375"/>
      <c r="B97" s="26"/>
      <c r="C97" s="51">
        <f>-C96*C$33</f>
        <v>0</v>
      </c>
      <c r="D97" s="51">
        <f>-SUM(D96:E96)*D$33</f>
        <v>0</v>
      </c>
      <c r="E97" s="37">
        <f>-SUM(D96:E96)*E$33</f>
        <v>1.3451440186634998</v>
      </c>
      <c r="F97" s="51">
        <f>-SUM(F96:G96)*F$33</f>
        <v>-1.2363031385614591</v>
      </c>
      <c r="G97" s="37">
        <f>-SUM(F96:G96)*G$33</f>
        <v>-1.1538829293240283</v>
      </c>
      <c r="H97" s="51">
        <f>-SUM(H96:I96)*H$33</f>
        <v>1.2554677507525998</v>
      </c>
      <c r="I97" s="37">
        <f>-SUM(H96:I96)*I$33</f>
        <v>0</v>
      </c>
      <c r="J97" s="51">
        <f>-SUM(J96:K96)*J$33</f>
        <v>0</v>
      </c>
      <c r="K97" s="37">
        <f>-SUM(J96:K96)*K$33</f>
        <v>0</v>
      </c>
      <c r="L97" s="51">
        <f>-SUM(L96:M96)*L$33</f>
        <v>0</v>
      </c>
      <c r="M97" s="37">
        <f>-SUM(L96:M96)*M$33</f>
        <v>0</v>
      </c>
      <c r="N97" s="80">
        <f>-N96*N$33</f>
        <v>0</v>
      </c>
      <c r="O97" s="375"/>
    </row>
    <row r="98" spans="1:15" ht="15">
      <c r="A98" s="375"/>
      <c r="B98" s="26"/>
      <c r="C98" s="51">
        <f>0.5*D97</f>
        <v>0</v>
      </c>
      <c r="D98" s="51">
        <f>0.5*C97</f>
        <v>0</v>
      </c>
      <c r="E98" s="37">
        <f>0.5*F97</f>
        <v>-0.6181515692807296</v>
      </c>
      <c r="F98" s="51">
        <f>0.5*E97</f>
        <v>0.6725720093317499</v>
      </c>
      <c r="G98" s="37">
        <f>0.5*H97</f>
        <v>0.6277338753762999</v>
      </c>
      <c r="H98" s="51">
        <f>0.5*G97</f>
        <v>-0.5769414646620141</v>
      </c>
      <c r="I98" s="37">
        <f>0.5*J97</f>
        <v>0</v>
      </c>
      <c r="J98" s="51">
        <f>0.5*I97</f>
        <v>0</v>
      </c>
      <c r="K98" s="37">
        <f>0.5*L97</f>
        <v>0</v>
      </c>
      <c r="L98" s="51">
        <f>0.5*K97</f>
        <v>0</v>
      </c>
      <c r="M98" s="37">
        <f>0.5*N97</f>
        <v>0</v>
      </c>
      <c r="N98" s="80">
        <f>0.5*M97</f>
        <v>0</v>
      </c>
      <c r="O98" s="375"/>
    </row>
    <row r="99" spans="1:15" ht="15">
      <c r="A99" s="375"/>
      <c r="B99" s="26"/>
      <c r="C99" s="51">
        <f>-C98*C$33</f>
        <v>0</v>
      </c>
      <c r="D99" s="51">
        <f>-SUM(D98:E98)*D$33</f>
        <v>0</v>
      </c>
      <c r="E99" s="37">
        <f>-SUM(D98:E98)*E$33</f>
        <v>0.6181515692807296</v>
      </c>
      <c r="F99" s="51">
        <f>-SUM(F98:G98)*F$33</f>
        <v>-0.6725720093317499</v>
      </c>
      <c r="G99" s="37">
        <f>-SUM(F98:G98)*G$33</f>
        <v>-0.6277338753762999</v>
      </c>
      <c r="H99" s="51">
        <f>-SUM(H98:I98)*H$33</f>
        <v>0.5769414646620141</v>
      </c>
      <c r="I99" s="37">
        <f>-SUM(H98:I98)*I$33</f>
        <v>0</v>
      </c>
      <c r="J99" s="51">
        <f>-SUM(J98:K98)*J$33</f>
        <v>0</v>
      </c>
      <c r="K99" s="37">
        <f>-SUM(J98:K98)*K$33</f>
        <v>0</v>
      </c>
      <c r="L99" s="51">
        <f>-SUM(L98:M98)*L$33</f>
        <v>0</v>
      </c>
      <c r="M99" s="37">
        <f>-SUM(L98:M98)*M$33</f>
        <v>0</v>
      </c>
      <c r="N99" s="80">
        <f>-N98*N$33</f>
        <v>0</v>
      </c>
      <c r="O99" s="375"/>
    </row>
    <row r="100" spans="1:15" ht="15">
      <c r="A100" s="375"/>
      <c r="B100" s="26"/>
      <c r="C100" s="51">
        <f>0.5*D99</f>
        <v>0</v>
      </c>
      <c r="D100" s="51">
        <f>0.5*C99</f>
        <v>0</v>
      </c>
      <c r="E100" s="37">
        <f>0.5*F99</f>
        <v>-0.33628600466587494</v>
      </c>
      <c r="F100" s="51">
        <f>0.5*E99</f>
        <v>0.3090757846403648</v>
      </c>
      <c r="G100" s="37">
        <f>0.5*H99</f>
        <v>0.28847073233100706</v>
      </c>
      <c r="H100" s="51">
        <f>0.5*G99</f>
        <v>-0.31386693768814994</v>
      </c>
      <c r="I100" s="37">
        <f>0.5*J99</f>
        <v>0</v>
      </c>
      <c r="J100" s="51">
        <f>0.5*I99</f>
        <v>0</v>
      </c>
      <c r="K100" s="37">
        <f>0.5*L99</f>
        <v>0</v>
      </c>
      <c r="L100" s="51">
        <f>0.5*K99</f>
        <v>0</v>
      </c>
      <c r="M100" s="37">
        <f>0.5*N99</f>
        <v>0</v>
      </c>
      <c r="N100" s="80">
        <f>0.5*M99</f>
        <v>0</v>
      </c>
      <c r="O100" s="375"/>
    </row>
    <row r="101" spans="1:15" ht="15">
      <c r="A101" s="375"/>
      <c r="B101" s="26"/>
      <c r="C101" s="51">
        <f>-C100*C$33</f>
        <v>0</v>
      </c>
      <c r="D101" s="51">
        <f>-SUM(D100:E100)*D$33</f>
        <v>0</v>
      </c>
      <c r="E101" s="37">
        <f>-SUM(D100:E100)*E$33</f>
        <v>0.33628600466587494</v>
      </c>
      <c r="F101" s="51">
        <f>-SUM(F100:G100)*F$33</f>
        <v>-0.3090757846403648</v>
      </c>
      <c r="G101" s="37">
        <f>-SUM(F100:G100)*G$33</f>
        <v>-0.28847073233100706</v>
      </c>
      <c r="H101" s="51">
        <f>-SUM(H100:I100)*H$33</f>
        <v>0.31386693768814994</v>
      </c>
      <c r="I101" s="37">
        <f>-SUM(H100:I100)*I$33</f>
        <v>0</v>
      </c>
      <c r="J101" s="51">
        <f>-SUM(J100:K100)*J$33</f>
        <v>0</v>
      </c>
      <c r="K101" s="37">
        <f>-SUM(J100:K100)*K$33</f>
        <v>0</v>
      </c>
      <c r="L101" s="51">
        <f>-SUM(L100:M100)*L$33</f>
        <v>0</v>
      </c>
      <c r="M101" s="37">
        <f>-SUM(L100:M100)*M$33</f>
        <v>0</v>
      </c>
      <c r="N101" s="80">
        <f>-N100*N$33</f>
        <v>0</v>
      </c>
      <c r="O101" s="375"/>
    </row>
    <row r="102" spans="1:15" ht="16.5" thickBot="1">
      <c r="A102" s="375"/>
      <c r="B102" s="81" t="s">
        <v>186</v>
      </c>
      <c r="C102" s="724">
        <f aca="true" t="shared" si="2" ref="C102:N102">SUM(C88:C101)</f>
        <v>0</v>
      </c>
      <c r="D102" s="724">
        <f t="shared" si="2"/>
        <v>0</v>
      </c>
      <c r="E102" s="725">
        <f t="shared" si="2"/>
        <v>0</v>
      </c>
      <c r="F102" s="724">
        <f t="shared" si="2"/>
        <v>28.505868875205252</v>
      </c>
      <c r="G102" s="725">
        <f t="shared" si="2"/>
        <v>-28.505868875205252</v>
      </c>
      <c r="H102" s="724">
        <f t="shared" si="2"/>
        <v>0</v>
      </c>
      <c r="I102" s="725">
        <f t="shared" si="2"/>
        <v>0</v>
      </c>
      <c r="J102" s="724">
        <f t="shared" si="2"/>
        <v>0</v>
      </c>
      <c r="K102" s="725">
        <f t="shared" si="2"/>
        <v>0</v>
      </c>
      <c r="L102" s="724">
        <f t="shared" si="2"/>
        <v>0</v>
      </c>
      <c r="M102" s="725">
        <f t="shared" si="2"/>
        <v>0</v>
      </c>
      <c r="N102" s="726">
        <f t="shared" si="2"/>
        <v>0</v>
      </c>
      <c r="O102" s="375"/>
    </row>
    <row r="103" spans="1:15" ht="13.5" thickTop="1">
      <c r="A103" s="375"/>
      <c r="O103" s="375"/>
    </row>
    <row r="104" spans="1:15" ht="15">
      <c r="A104" s="375"/>
      <c r="B104" s="561" t="s">
        <v>196</v>
      </c>
      <c r="C104" s="562"/>
      <c r="D104" s="562"/>
      <c r="E104" s="562"/>
      <c r="F104" s="563" t="s">
        <v>197</v>
      </c>
      <c r="G104" s="562"/>
      <c r="H104" s="562"/>
      <c r="I104" s="562"/>
      <c r="J104" s="562"/>
      <c r="K104" s="562"/>
      <c r="L104" s="562"/>
      <c r="M104" s="562"/>
      <c r="N104" s="562"/>
      <c r="O104" s="375"/>
    </row>
    <row r="105" spans="1:15" ht="14.25">
      <c r="A105" s="375"/>
      <c r="B105" s="564" t="s">
        <v>198</v>
      </c>
      <c r="C105" s="565">
        <v>1</v>
      </c>
      <c r="D105" s="565">
        <v>2</v>
      </c>
      <c r="E105" s="565">
        <v>3</v>
      </c>
      <c r="F105" s="565">
        <v>4</v>
      </c>
      <c r="G105" s="565">
        <v>5</v>
      </c>
      <c r="H105" s="565">
        <v>6</v>
      </c>
      <c r="I105" s="565">
        <v>7</v>
      </c>
      <c r="J105" s="562"/>
      <c r="K105" s="562"/>
      <c r="L105" s="562"/>
      <c r="M105" s="562"/>
      <c r="N105" s="562"/>
      <c r="O105" s="375"/>
    </row>
    <row r="106" spans="1:15" ht="15">
      <c r="A106" s="375"/>
      <c r="B106" s="566" t="s">
        <v>199</v>
      </c>
      <c r="C106" s="567">
        <f>-(C66+C87+C102)</f>
        <v>0</v>
      </c>
      <c r="D106" s="567">
        <f>D66+D87+D102</f>
        <v>35.8543425</v>
      </c>
      <c r="E106" s="567">
        <f>-(G66+G87+G102)</f>
        <v>97.93741761571225</v>
      </c>
      <c r="F106" s="567">
        <f>H66+H87+H102</f>
        <v>0</v>
      </c>
      <c r="G106" s="567">
        <f>J66+J87+J102</f>
        <v>0</v>
      </c>
      <c r="H106" s="567">
        <f>L66+L87+L102</f>
        <v>0</v>
      </c>
      <c r="I106" s="567">
        <f>N66+N87+N102</f>
        <v>0</v>
      </c>
      <c r="J106" s="562"/>
      <c r="K106" s="562"/>
      <c r="L106" s="562"/>
      <c r="M106" s="562"/>
      <c r="N106" s="562"/>
      <c r="O106" s="375"/>
    </row>
    <row r="107" spans="1:15" ht="15">
      <c r="A107" s="375"/>
      <c r="B107" s="566" t="s">
        <v>194</v>
      </c>
      <c r="C107" s="568">
        <f>-(C66+C87)</f>
        <v>0</v>
      </c>
      <c r="D107" s="568">
        <f>D66+D87</f>
        <v>35.8543425</v>
      </c>
      <c r="E107" s="568">
        <f>-(G66+G87)</f>
        <v>69.431548740507</v>
      </c>
      <c r="F107" s="568">
        <f>H66+H87</f>
        <v>0</v>
      </c>
      <c r="G107" s="568">
        <f>J66+J87</f>
        <v>0</v>
      </c>
      <c r="H107" s="568">
        <f>L66+L87</f>
        <v>0</v>
      </c>
      <c r="I107" s="568">
        <f>N66+N87</f>
        <v>0</v>
      </c>
      <c r="J107" s="562"/>
      <c r="K107" s="562"/>
      <c r="L107" s="562"/>
      <c r="M107" s="562"/>
      <c r="N107" s="562"/>
      <c r="O107" s="375"/>
    </row>
    <row r="108" spans="1:15" ht="15">
      <c r="A108" s="375"/>
      <c r="B108" s="566" t="s">
        <v>195</v>
      </c>
      <c r="C108" s="569">
        <f>-(C66+C102)</f>
        <v>0</v>
      </c>
      <c r="D108" s="569">
        <f>D66+D102</f>
        <v>16.4673875</v>
      </c>
      <c r="E108" s="569">
        <f>-(G66+G102)</f>
        <v>70.14236984631569</v>
      </c>
      <c r="F108" s="569">
        <f>H66+H102</f>
        <v>0</v>
      </c>
      <c r="G108" s="569">
        <f>J66+J102</f>
        <v>0</v>
      </c>
      <c r="H108" s="569">
        <f>L66+L102</f>
        <v>0</v>
      </c>
      <c r="I108" s="569">
        <f>N66+N102</f>
        <v>0</v>
      </c>
      <c r="J108" s="562"/>
      <c r="K108" s="562"/>
      <c r="L108" s="562"/>
      <c r="M108" s="562"/>
      <c r="N108" s="562"/>
      <c r="O108" s="375"/>
    </row>
    <row r="109" spans="1:15" ht="12.75">
      <c r="A109" s="375"/>
      <c r="B109" s="562"/>
      <c r="C109" s="562"/>
      <c r="D109" s="562"/>
      <c r="E109" s="562"/>
      <c r="F109" s="562"/>
      <c r="G109" s="562"/>
      <c r="H109" s="562"/>
      <c r="I109" s="562"/>
      <c r="J109" s="562"/>
      <c r="K109" s="562"/>
      <c r="L109" s="562"/>
      <c r="M109" s="562"/>
      <c r="N109" s="562"/>
      <c r="O109" s="375"/>
    </row>
    <row r="110" spans="1:15" ht="15.75">
      <c r="A110" s="375"/>
      <c r="B110" s="561" t="s">
        <v>200</v>
      </c>
      <c r="C110" s="570"/>
      <c r="D110" s="563" t="s">
        <v>201</v>
      </c>
      <c r="E110" s="562"/>
      <c r="F110" s="727" t="s">
        <v>202</v>
      </c>
      <c r="G110" s="728">
        <f>ACTIONS!L14</f>
        <v>1</v>
      </c>
      <c r="H110" s="562"/>
      <c r="I110" s="562"/>
      <c r="J110" s="562"/>
      <c r="K110" s="562"/>
      <c r="L110" s="562"/>
      <c r="M110" s="562"/>
      <c r="N110" s="562"/>
      <c r="O110" s="375"/>
    </row>
    <row r="111" spans="1:15" ht="15">
      <c r="A111" s="375"/>
      <c r="B111" s="566" t="s">
        <v>203</v>
      </c>
      <c r="C111" s="567">
        <f>1-ACTIONS!D26</f>
        <v>1</v>
      </c>
      <c r="D111" s="567">
        <f>1-ACTIONS!E26</f>
        <v>1</v>
      </c>
      <c r="E111" s="567">
        <f>1-ACTIONS!F26</f>
        <v>0.85</v>
      </c>
      <c r="F111" s="567">
        <f>1-ACTIONS!G26</f>
        <v>1</v>
      </c>
      <c r="G111" s="567">
        <f>1-ACTIONS!H26</f>
        <v>1</v>
      </c>
      <c r="H111" s="567">
        <f>1-ACTIONS!I26</f>
        <v>1</v>
      </c>
      <c r="I111" s="567">
        <f>1-ACTIONS!J26</f>
        <v>1</v>
      </c>
      <c r="J111" s="562"/>
      <c r="K111" s="562"/>
      <c r="L111" s="562"/>
      <c r="M111" s="562"/>
      <c r="N111" s="562"/>
      <c r="O111" s="375"/>
    </row>
    <row r="112" spans="1:15" ht="15">
      <c r="A112" s="375"/>
      <c r="B112" s="566" t="s">
        <v>204</v>
      </c>
      <c r="C112" s="568">
        <f aca="true" t="shared" si="3" ref="C112:I112">IF($G110=1,2-C111,IF($G110=2,1,5))</f>
        <v>1</v>
      </c>
      <c r="D112" s="568">
        <f t="shared" si="3"/>
        <v>1</v>
      </c>
      <c r="E112" s="568">
        <f t="shared" si="3"/>
        <v>1.15</v>
      </c>
      <c r="F112" s="568">
        <f t="shared" si="3"/>
        <v>1</v>
      </c>
      <c r="G112" s="568">
        <f t="shared" si="3"/>
        <v>1</v>
      </c>
      <c r="H112" s="568">
        <f t="shared" si="3"/>
        <v>1</v>
      </c>
      <c r="I112" s="568">
        <f t="shared" si="3"/>
        <v>1</v>
      </c>
      <c r="J112" s="562"/>
      <c r="K112" s="562"/>
      <c r="L112" s="562"/>
      <c r="M112" s="562"/>
      <c r="N112" s="562"/>
      <c r="O112" s="375"/>
    </row>
    <row r="113" spans="1:15" ht="15.75">
      <c r="A113" s="375"/>
      <c r="B113" s="566" t="s">
        <v>205</v>
      </c>
      <c r="C113" s="568">
        <f aca="true" t="shared" si="4" ref="C113:I113">MAX(C106:C108)*C111</f>
        <v>0</v>
      </c>
      <c r="D113" s="568">
        <f t="shared" si="4"/>
        <v>35.8543425</v>
      </c>
      <c r="E113" s="568">
        <f t="shared" si="4"/>
        <v>83.24680497335541</v>
      </c>
      <c r="F113" s="568">
        <f t="shared" si="4"/>
        <v>0</v>
      </c>
      <c r="G113" s="568">
        <f t="shared" si="4"/>
        <v>0</v>
      </c>
      <c r="H113" s="568">
        <f t="shared" si="4"/>
        <v>0</v>
      </c>
      <c r="I113" s="568">
        <f t="shared" si="4"/>
        <v>0</v>
      </c>
      <c r="J113" s="562"/>
      <c r="K113" s="571"/>
      <c r="L113" s="571"/>
      <c r="M113" s="571"/>
      <c r="N113" s="571"/>
      <c r="O113" s="375"/>
    </row>
    <row r="114" spans="1:15" ht="15.75">
      <c r="A114" s="375"/>
      <c r="B114" s="566" t="s">
        <v>206</v>
      </c>
      <c r="C114" s="568">
        <f>MIN(C66*1/MAIN!$H41,C113)</f>
        <v>0</v>
      </c>
      <c r="D114" s="568">
        <f>MIN(D66*1/MAIN!$H41,D113)</f>
        <v>16.4673875</v>
      </c>
      <c r="E114" s="568">
        <f>MIN(F66*1/MAIN!$H41,E113)</f>
        <v>41.63650097111043</v>
      </c>
      <c r="F114" s="568">
        <f>MIN(H66*1/MAIN!$H41,F113)</f>
        <v>0</v>
      </c>
      <c r="G114" s="568">
        <f>MIN(J66*1/MAIN!$H41,G113)</f>
        <v>0</v>
      </c>
      <c r="H114" s="568">
        <f>MIN(L66*1/MAIN!$H41,H113)</f>
        <v>0</v>
      </c>
      <c r="I114" s="568">
        <f>MIN(N66*1/MAIN!$H41,I113)</f>
        <v>0</v>
      </c>
      <c r="J114" s="562"/>
      <c r="K114" s="4"/>
      <c r="L114" s="4"/>
      <c r="M114" s="4"/>
      <c r="N114" s="562"/>
      <c r="O114" s="375"/>
    </row>
    <row r="115" spans="1:15" ht="15.75">
      <c r="A115" s="375"/>
      <c r="B115" s="566" t="s">
        <v>199</v>
      </c>
      <c r="C115" s="568">
        <f>MIN(C106*C112,C113)</f>
        <v>0</v>
      </c>
      <c r="D115" s="568">
        <f>IF(AND(OR(MAIN!J$21="C",MAIN!J$22="C"),MAIN!I$22=3),D106,MIN(D$112*D106,D$113))</f>
        <v>35.8543425</v>
      </c>
      <c r="E115" s="568">
        <f>IF(AND(MAIN!$J$22="C",MAIN!$I$22=4),E106,MIN(E106*E$112,E$113))</f>
        <v>83.24680497335541</v>
      </c>
      <c r="F115" s="568">
        <f>IF(AND(MAIN!$J$22="C",MAIN!$I$22=5),F106,MIN(F106*F$112,F$113))</f>
        <v>0</v>
      </c>
      <c r="G115" s="568">
        <f>IF(AND(MAIN!$J$22="C",MAIN!$I$22=6),G106,MIN(G106*G$112,G$113))</f>
        <v>0</v>
      </c>
      <c r="H115" s="568">
        <f>IF(AND(MAIN!$J$22="C",MAIN!$I$22=7),H106,MIN(H106*H$112,H$113))</f>
        <v>0</v>
      </c>
      <c r="I115" s="568">
        <f>MIN(I106*I$112,I$113)</f>
        <v>0</v>
      </c>
      <c r="J115" s="562"/>
      <c r="K115" s="571"/>
      <c r="L115" s="571"/>
      <c r="M115" s="571"/>
      <c r="N115" s="562"/>
      <c r="O115" s="375"/>
    </row>
    <row r="116" spans="1:15" ht="15">
      <c r="A116" s="375"/>
      <c r="B116" s="566" t="s">
        <v>194</v>
      </c>
      <c r="C116" s="568">
        <f>MIN(C107*C112,C113)</f>
        <v>0</v>
      </c>
      <c r="D116" s="568">
        <f>IF(AND(OR(MAIN!J$21="C",MAIN!J$22="C"),MAIN!I$22=3),D107,MIN(D$112*D107,D$113))</f>
        <v>35.8543425</v>
      </c>
      <c r="E116" s="568">
        <f>IF(AND(MAIN!$J$22="C",MAIN!$I$22=4),E107,MIN(E107*E$112,E$113))</f>
        <v>79.84628105158303</v>
      </c>
      <c r="F116" s="568">
        <f>IF(AND(MAIN!$J$22="C",MAIN!$I$22=5),F107,MIN(F107*F$112,F$113))</f>
        <v>0</v>
      </c>
      <c r="G116" s="568">
        <f>IF(AND(MAIN!$J$22="C",MAIN!$I$22=6),G107,MIN(G107*G$112,G$113))</f>
        <v>0</v>
      </c>
      <c r="H116" s="568">
        <f>IF(AND(MAIN!$J$22="C",MAIN!$I$22=7),H107,MIN(H107*H$112,H$113))</f>
        <v>0</v>
      </c>
      <c r="I116" s="568">
        <f>MIN(I107*I$112,I$113)</f>
        <v>0</v>
      </c>
      <c r="J116" s="562"/>
      <c r="K116" s="562"/>
      <c r="L116" s="562"/>
      <c r="M116" s="562"/>
      <c r="N116" s="562"/>
      <c r="O116" s="375"/>
    </row>
    <row r="117" spans="1:15" ht="15">
      <c r="A117" s="375"/>
      <c r="B117" s="566" t="s">
        <v>195</v>
      </c>
      <c r="C117" s="569">
        <f>MIN(C108*C112,C113)</f>
        <v>0</v>
      </c>
      <c r="D117" s="569">
        <f>IF(AND(OR(MAIN!J$21="C",MAIN!J$22="C"),MAIN!I$22=3),D108,MIN(D$112*D108,D$113))</f>
        <v>16.4673875</v>
      </c>
      <c r="E117" s="569">
        <f>IF(AND(MAIN!$J$22="C",MAIN!$I$22=4),E108,MIN(E108*E$112,E$113))</f>
        <v>80.66372532326304</v>
      </c>
      <c r="F117" s="569">
        <f>IF(AND(MAIN!$J$22="C",MAIN!$I$22=5),F108,MIN(F108*F$112,F$113))</f>
        <v>0</v>
      </c>
      <c r="G117" s="569">
        <f>IF(AND(MAIN!$J$22="C",MAIN!$I$22=6),G108,MIN(G108*G$112,G$113))</f>
        <v>0</v>
      </c>
      <c r="H117" s="569">
        <f>IF(AND(MAIN!$J$22="C",MAIN!$I$22=7),H108,MIN(H108*H$112,H$113))</f>
        <v>0</v>
      </c>
      <c r="I117" s="569">
        <f>MIN(I108*I$112,I$113)</f>
        <v>0</v>
      </c>
      <c r="J117" s="562"/>
      <c r="K117" s="562"/>
      <c r="L117" s="562"/>
      <c r="M117" s="562"/>
      <c r="N117" s="562"/>
      <c r="O117" s="375"/>
    </row>
    <row r="118" spans="1:15" ht="12.75">
      <c r="A118" s="375"/>
      <c r="B118" s="562"/>
      <c r="C118" s="562"/>
      <c r="D118" s="562"/>
      <c r="E118" s="562"/>
      <c r="F118" s="562"/>
      <c r="G118" s="562"/>
      <c r="H118" s="562"/>
      <c r="I118" s="562"/>
      <c r="J118" s="562"/>
      <c r="K118" s="562"/>
      <c r="L118" s="562"/>
      <c r="M118" s="562"/>
      <c r="N118" s="562"/>
      <c r="O118" s="375"/>
    </row>
    <row r="119" spans="1:15" ht="15.75">
      <c r="A119" s="375"/>
      <c r="B119" s="561" t="s">
        <v>207</v>
      </c>
      <c r="C119" s="562"/>
      <c r="D119" s="562"/>
      <c r="E119" s="562"/>
      <c r="F119" s="562"/>
      <c r="G119" s="562"/>
      <c r="H119" s="562"/>
      <c r="I119" s="562"/>
      <c r="J119" s="571"/>
      <c r="K119" s="562"/>
      <c r="L119" s="562"/>
      <c r="M119" s="562"/>
      <c r="N119" s="562"/>
      <c r="O119" s="375"/>
    </row>
    <row r="120" spans="1:15" ht="14.25">
      <c r="A120" s="375"/>
      <c r="B120" s="564" t="s">
        <v>208</v>
      </c>
      <c r="C120" s="572"/>
      <c r="D120" s="573">
        <v>1</v>
      </c>
      <c r="E120" s="574"/>
      <c r="F120" s="572"/>
      <c r="G120" s="573">
        <v>2</v>
      </c>
      <c r="H120" s="574"/>
      <c r="I120" s="572"/>
      <c r="J120" s="573">
        <v>3</v>
      </c>
      <c r="K120" s="574"/>
      <c r="L120" s="562"/>
      <c r="M120" s="562"/>
      <c r="N120" s="562"/>
      <c r="O120" s="375"/>
    </row>
    <row r="121" spans="1:15" ht="14.25">
      <c r="A121" s="375"/>
      <c r="B121" s="562"/>
      <c r="C121" s="575" t="s">
        <v>54</v>
      </c>
      <c r="D121" s="576" t="s">
        <v>209</v>
      </c>
      <c r="E121" s="577" t="s">
        <v>210</v>
      </c>
      <c r="F121" s="575" t="s">
        <v>54</v>
      </c>
      <c r="G121" s="576" t="s">
        <v>209</v>
      </c>
      <c r="H121" s="577" t="s">
        <v>210</v>
      </c>
      <c r="I121" s="575" t="s">
        <v>54</v>
      </c>
      <c r="J121" s="576" t="s">
        <v>209</v>
      </c>
      <c r="K121" s="577" t="s">
        <v>210</v>
      </c>
      <c r="L121" s="562"/>
      <c r="M121" s="562"/>
      <c r="N121" s="562"/>
      <c r="O121" s="375"/>
    </row>
    <row r="122" spans="1:15" ht="15">
      <c r="A122" s="375"/>
      <c r="B122" s="566" t="s">
        <v>206</v>
      </c>
      <c r="C122" s="578">
        <f>(MAIN!C28+MAIN!D28)*MAIN!C18*MAIN!H41</f>
        <v>16.4673875</v>
      </c>
      <c r="D122" s="579">
        <f>MAIN!D29*MAIN!H41</f>
        <v>0</v>
      </c>
      <c r="E122" s="580">
        <f>MAIN!D30*MAIN!H41</f>
        <v>0</v>
      </c>
      <c r="F122" s="578">
        <f>(MAIN!C32+MAIN!D32)*MAIN!C19*MAIN!H41</f>
        <v>46.79546666666667</v>
      </c>
      <c r="G122" s="579">
        <f>MAIN!D33*MAIN!H41</f>
        <v>8.5</v>
      </c>
      <c r="H122" s="580">
        <f>MAIN!D34*MAIN!H41</f>
        <v>0</v>
      </c>
      <c r="I122" s="578">
        <f>(MAIN!C36+MAIN!D36)*MAIN!C20*MAIN!H41</f>
        <v>47.42490138888889</v>
      </c>
      <c r="J122" s="579">
        <f>MAIN!D37*MAIN!H41</f>
        <v>0</v>
      </c>
      <c r="K122" s="580">
        <f>MAIN!D38*MAIN!H41</f>
        <v>0</v>
      </c>
      <c r="L122" s="562"/>
      <c r="M122" s="562"/>
      <c r="N122" s="562"/>
      <c r="O122" s="375"/>
    </row>
    <row r="123" spans="1:15" ht="15">
      <c r="A123" s="375"/>
      <c r="B123" s="566" t="s">
        <v>199</v>
      </c>
      <c r="C123" s="581">
        <f>(MAIN!C28+MAIN!D28)*MAIN!C18*MAIN!I41+MAIN!E28*MAIN!C18*MAIN!I42</f>
        <v>35.8543425</v>
      </c>
      <c r="D123" s="582">
        <f>MAIN!D29*MAIN!I41+MAIN!E29*MAIN!I42</f>
        <v>0</v>
      </c>
      <c r="E123" s="583">
        <f>MAIN!D30*MAIN!I41+MAIN!E30*MAIN!I42</f>
        <v>0</v>
      </c>
      <c r="F123" s="581">
        <f>(MAIN!C32+MAIN!D32)*MAIN!C19*MAIN!I41+MAIN!E32*MAIN!C19*MAIN!I42</f>
        <v>110.31365333333335</v>
      </c>
      <c r="G123" s="582">
        <f>MAIN!D33*MAIN!I41+MAIN!E33*MAIN!I42</f>
        <v>13.499999999999998</v>
      </c>
      <c r="H123" s="583">
        <f>MAIN!D34*MAIN!I41+MAIN!E34*MAIN!I42</f>
        <v>0</v>
      </c>
      <c r="I123" s="581">
        <f>(MAIN!C36+MAIN!D36)*MAIN!C20*MAIN!I41+MAIN!E36*MAIN!C20*MAIN!I42</f>
        <v>114.39486194444444</v>
      </c>
      <c r="J123" s="582">
        <f>MAIN!D37*MAIN!I41+MAIN!E37*MAIN!I42</f>
        <v>0</v>
      </c>
      <c r="K123" s="583">
        <f>MAIN!D38*MAIN!I41+MAIN!E38*MAIN!I42</f>
        <v>0</v>
      </c>
      <c r="L123" s="562"/>
      <c r="M123" s="562"/>
      <c r="N123" s="562"/>
      <c r="O123" s="375"/>
    </row>
    <row r="124" spans="1:15" ht="15">
      <c r="A124" s="375"/>
      <c r="B124" s="566" t="s">
        <v>194</v>
      </c>
      <c r="C124" s="581">
        <f>C123</f>
        <v>35.8543425</v>
      </c>
      <c r="D124" s="582">
        <f>D123</f>
        <v>0</v>
      </c>
      <c r="E124" s="583">
        <f>E123</f>
        <v>0</v>
      </c>
      <c r="F124" s="581">
        <f aca="true" t="shared" si="5" ref="F124:H125">F122</f>
        <v>46.79546666666667</v>
      </c>
      <c r="G124" s="582">
        <f t="shared" si="5"/>
        <v>8.5</v>
      </c>
      <c r="H124" s="583">
        <f t="shared" si="5"/>
        <v>0</v>
      </c>
      <c r="I124" s="581">
        <f>I123</f>
        <v>114.39486194444444</v>
      </c>
      <c r="J124" s="582">
        <f>J123</f>
        <v>0</v>
      </c>
      <c r="K124" s="583">
        <f>K123</f>
        <v>0</v>
      </c>
      <c r="L124" s="562"/>
      <c r="M124" s="562"/>
      <c r="N124" s="562"/>
      <c r="O124" s="375"/>
    </row>
    <row r="125" spans="1:15" ht="15">
      <c r="A125" s="375"/>
      <c r="B125" s="566" t="s">
        <v>195</v>
      </c>
      <c r="C125" s="584">
        <f>C122</f>
        <v>16.4673875</v>
      </c>
      <c r="D125" s="585">
        <f>D122</f>
        <v>0</v>
      </c>
      <c r="E125" s="586">
        <f>E122</f>
        <v>0</v>
      </c>
      <c r="F125" s="584">
        <f t="shared" si="5"/>
        <v>110.31365333333335</v>
      </c>
      <c r="G125" s="585">
        <f t="shared" si="5"/>
        <v>13.499999999999998</v>
      </c>
      <c r="H125" s="586">
        <f t="shared" si="5"/>
        <v>0</v>
      </c>
      <c r="I125" s="584">
        <f>I122</f>
        <v>47.42490138888889</v>
      </c>
      <c r="J125" s="585">
        <f>J122</f>
        <v>0</v>
      </c>
      <c r="K125" s="586">
        <f>K122</f>
        <v>0</v>
      </c>
      <c r="L125" s="562"/>
      <c r="M125" s="562"/>
      <c r="N125" s="562"/>
      <c r="O125" s="375"/>
    </row>
    <row r="126" spans="1:15" ht="16.5">
      <c r="A126" s="375"/>
      <c r="B126" s="564" t="s">
        <v>208</v>
      </c>
      <c r="C126" s="587"/>
      <c r="D126" s="588">
        <v>4</v>
      </c>
      <c r="E126" s="589"/>
      <c r="F126" s="587"/>
      <c r="G126" s="588">
        <v>5</v>
      </c>
      <c r="H126" s="589"/>
      <c r="I126" s="587"/>
      <c r="J126" s="588">
        <v>6</v>
      </c>
      <c r="K126" s="589"/>
      <c r="L126" s="562"/>
      <c r="M126" s="562"/>
      <c r="N126" s="571"/>
      <c r="O126" s="375"/>
    </row>
    <row r="127" spans="1:15" ht="15.75">
      <c r="A127" s="375"/>
      <c r="B127" s="566" t="s">
        <v>206</v>
      </c>
      <c r="C127" s="578">
        <f>(MAIN!H28+MAIN!I28)*MAIN!H41*MAIN!C21</f>
        <v>0</v>
      </c>
      <c r="D127" s="579">
        <f>MAIN!I29*MAIN!H41</f>
        <v>0</v>
      </c>
      <c r="E127" s="580">
        <f>MAIN!I30*MAIN!H41</f>
        <v>0</v>
      </c>
      <c r="F127" s="578">
        <f>(MAIN!H32+MAIN!I32)*MAIN!H41*MAIN!C22</f>
        <v>0</v>
      </c>
      <c r="G127" s="579">
        <f>MAIN!I33*MAIN!H41</f>
        <v>0</v>
      </c>
      <c r="H127" s="580">
        <f>MAIN!I34*MAIN!H41</f>
        <v>0</v>
      </c>
      <c r="I127" s="578">
        <f>(MAIN!H36+MAIN!I36)*MAIN!H41*MAIN!C23</f>
        <v>0</v>
      </c>
      <c r="J127" s="579">
        <f>MAIN!I37*MAIN!H41</f>
        <v>0</v>
      </c>
      <c r="K127" s="580">
        <f>MAIN!I38*MAIN!H41</f>
        <v>0</v>
      </c>
      <c r="L127" s="562"/>
      <c r="M127" s="562"/>
      <c r="N127" s="4"/>
      <c r="O127" s="375"/>
    </row>
    <row r="128" spans="1:15" ht="15.75">
      <c r="A128" s="375"/>
      <c r="B128" s="566" t="s">
        <v>199</v>
      </c>
      <c r="C128" s="581">
        <f>((MAIN!H28+MAIN!I28)*MAIN!I41+MAIN!J28*MAIN!I42)*MAIN!C21</f>
        <v>0</v>
      </c>
      <c r="D128" s="582">
        <f>MAIN!I29*MAIN!I41+MAIN!J29*MAIN!I42</f>
        <v>0</v>
      </c>
      <c r="E128" s="583">
        <f>MAIN!I30*MAIN!I41+MAIN!J30*MAIN!I42</f>
        <v>0</v>
      </c>
      <c r="F128" s="581">
        <f>((MAIN!H32+MAIN!I32)*MAIN!I41+MAIN!J32*MAIN!I42)*MAIN!C22</f>
        <v>0</v>
      </c>
      <c r="G128" s="582">
        <f>MAIN!I33*MAIN!I41+MAIN!J33*MAIN!I42</f>
        <v>0</v>
      </c>
      <c r="H128" s="583">
        <f>MAIN!I34*MAIN!I41+MAIN!J34*MAIN!I42</f>
        <v>0</v>
      </c>
      <c r="I128" s="581">
        <f>((MAIN!H36+MAIN!I36)*MAIN!I41+MAIN!J36*MAIN!I42)*MAIN!C23</f>
        <v>0</v>
      </c>
      <c r="J128" s="582">
        <f>MAIN!I37*MAIN!I41+MAIN!J37*MAIN!I42</f>
        <v>0</v>
      </c>
      <c r="K128" s="583">
        <f>MAIN!I38*MAIN!I41+MAIN!J38*MAIN!I42</f>
        <v>0</v>
      </c>
      <c r="L128" s="562"/>
      <c r="M128" s="562"/>
      <c r="N128" s="571"/>
      <c r="O128" s="375"/>
    </row>
    <row r="129" spans="1:15" ht="15.75">
      <c r="A129" s="375"/>
      <c r="B129" s="566" t="s">
        <v>194</v>
      </c>
      <c r="C129" s="581">
        <f aca="true" t="shared" si="6" ref="C129:E130">C127</f>
        <v>0</v>
      </c>
      <c r="D129" s="582">
        <f t="shared" si="6"/>
        <v>0</v>
      </c>
      <c r="E129" s="583">
        <f t="shared" si="6"/>
        <v>0</v>
      </c>
      <c r="F129" s="581">
        <f>F128</f>
        <v>0</v>
      </c>
      <c r="G129" s="582">
        <f>G128</f>
        <v>0</v>
      </c>
      <c r="H129" s="583">
        <f>H128</f>
        <v>0</v>
      </c>
      <c r="I129" s="581">
        <f aca="true" t="shared" si="7" ref="I129:K130">I127</f>
        <v>0</v>
      </c>
      <c r="J129" s="582">
        <f t="shared" si="7"/>
        <v>0</v>
      </c>
      <c r="K129" s="583">
        <f t="shared" si="7"/>
        <v>0</v>
      </c>
      <c r="L129" s="562"/>
      <c r="M129" s="562"/>
      <c r="N129" s="571"/>
      <c r="O129" s="375"/>
    </row>
    <row r="130" spans="1:18" ht="15.75">
      <c r="A130" s="375"/>
      <c r="B130" s="566" t="s">
        <v>195</v>
      </c>
      <c r="C130" s="584">
        <f t="shared" si="6"/>
        <v>0</v>
      </c>
      <c r="D130" s="585">
        <f t="shared" si="6"/>
        <v>0</v>
      </c>
      <c r="E130" s="586">
        <f t="shared" si="6"/>
        <v>0</v>
      </c>
      <c r="F130" s="584">
        <f>F127</f>
        <v>0</v>
      </c>
      <c r="G130" s="585">
        <f>G127</f>
        <v>0</v>
      </c>
      <c r="H130" s="586">
        <f>H127</f>
        <v>0</v>
      </c>
      <c r="I130" s="584">
        <f t="shared" si="7"/>
        <v>0</v>
      </c>
      <c r="J130" s="585">
        <f t="shared" si="7"/>
        <v>0</v>
      </c>
      <c r="K130" s="586">
        <f t="shared" si="7"/>
        <v>0</v>
      </c>
      <c r="L130" s="562"/>
      <c r="M130" s="562"/>
      <c r="N130" s="590"/>
      <c r="O130" s="375"/>
      <c r="Q130" s="13"/>
      <c r="R130" s="13"/>
    </row>
    <row r="131" spans="1:18" ht="15.75">
      <c r="A131" s="375"/>
      <c r="B131" s="562"/>
      <c r="C131" s="562"/>
      <c r="D131" s="562"/>
      <c r="E131" s="562"/>
      <c r="F131" s="590"/>
      <c r="G131" s="590"/>
      <c r="H131" s="562"/>
      <c r="I131" s="571"/>
      <c r="J131" s="562"/>
      <c r="K131" s="562"/>
      <c r="L131" s="562"/>
      <c r="M131" s="590"/>
      <c r="N131" s="590"/>
      <c r="O131" s="375"/>
      <c r="Q131" s="13"/>
      <c r="R131" s="13"/>
    </row>
    <row r="132" spans="1:18" ht="15.75">
      <c r="A132" s="375"/>
      <c r="B132" s="561" t="s">
        <v>93</v>
      </c>
      <c r="C132" s="562"/>
      <c r="D132" s="562"/>
      <c r="E132" s="562"/>
      <c r="F132" s="590"/>
      <c r="G132" s="562"/>
      <c r="H132" s="562"/>
      <c r="I132" s="562"/>
      <c r="J132" s="562"/>
      <c r="K132" s="562"/>
      <c r="L132" s="562"/>
      <c r="M132" s="590"/>
      <c r="N132" s="590"/>
      <c r="O132" s="375"/>
      <c r="Q132" s="13"/>
      <c r="R132" s="13"/>
    </row>
    <row r="133" spans="1:15" ht="16.5">
      <c r="A133" s="375"/>
      <c r="B133" s="564" t="s">
        <v>208</v>
      </c>
      <c r="C133" s="591"/>
      <c r="D133" s="592">
        <v>1</v>
      </c>
      <c r="E133" s="593"/>
      <c r="F133" s="591"/>
      <c r="G133" s="592">
        <v>2</v>
      </c>
      <c r="H133" s="593"/>
      <c r="I133" s="591"/>
      <c r="J133" s="592">
        <v>3</v>
      </c>
      <c r="K133" s="593"/>
      <c r="L133" s="594"/>
      <c r="M133" s="594"/>
      <c r="N133" s="5"/>
      <c r="O133" s="375"/>
    </row>
    <row r="134" spans="1:15" ht="15.75">
      <c r="A134" s="375"/>
      <c r="B134" s="566" t="s">
        <v>199</v>
      </c>
      <c r="C134" s="578">
        <f>SUM(C123:E123)-E134</f>
        <v>0</v>
      </c>
      <c r="D134" s="579"/>
      <c r="E134" s="580">
        <f>IF(MAIN!J$21="C",SUM(C123:E123),C123/2+(D123*MAIN!$F$29+E123*MAIN!$F$30+(D106-C106))/MAIN!$C$18)</f>
        <v>35.8543425</v>
      </c>
      <c r="F134" s="578">
        <f>SUM(F123:H123)-H134</f>
        <v>56.99138736442207</v>
      </c>
      <c r="G134" s="579"/>
      <c r="H134" s="580">
        <f>IF(MAIN!$C$19=0,0,IF(AND(MAIN!J$22="C",MAIN!I$22=3),0,F123/2+(G123*MAIN!$F$33+H123*MAIN!$F$34+(E106-D106))/MAIN!$C$19))</f>
        <v>66.82226596891128</v>
      </c>
      <c r="I134" s="578">
        <f>SUM(I123:K123)-K134</f>
        <v>70.25575332098386</v>
      </c>
      <c r="J134" s="579"/>
      <c r="K134" s="580">
        <f>IF(MAIN!$C$20=0,0,IF(AND(MAIN!J$22="C",MAIN!I$22=4),0,I123/2+(J123*MAIN!F$37+K123*MAIN!F$38+(F106-E106))/MAIN!$C$20))</f>
        <v>44.13910862346059</v>
      </c>
      <c r="L134" s="562"/>
      <c r="M134" s="5"/>
      <c r="N134" s="5"/>
      <c r="O134" s="375"/>
    </row>
    <row r="135" spans="1:15" ht="15.75">
      <c r="A135" s="375"/>
      <c r="B135" s="566" t="s">
        <v>194</v>
      </c>
      <c r="C135" s="581">
        <f>SUM(C124:E124)-E135</f>
        <v>0</v>
      </c>
      <c r="D135" s="582"/>
      <c r="E135" s="583">
        <f>IF(MAIN!J$21="C",SUM(C124:E124),C124/2+(D124*MAIN!$F$29+E124*MAIN!$F$30+(D107-C107))/MAIN!$C$18)</f>
        <v>35.8543425</v>
      </c>
      <c r="F135" s="581">
        <f>SUM(F124:H124)-H135</f>
        <v>25.340275298975193</v>
      </c>
      <c r="G135" s="582"/>
      <c r="H135" s="583">
        <f>IF(MAIN!$C$19=0,0,IF(AND(MAIN!J$22="C",MAIN!I$22=3),0,F124/2+(G124*MAIN!$F$33+H124*MAIN!$F$34+(E107-D107))/MAIN!$C$19))</f>
        <v>29.955191367691477</v>
      </c>
      <c r="I135" s="581">
        <f>SUM(I124:K124)-K135</f>
        <v>66.45497080428981</v>
      </c>
      <c r="J135" s="582"/>
      <c r="K135" s="583">
        <f>IF(MAIN!$C$20=0,0,IF(AND(MAIN!J$22="C",MAIN!I$22=4),0,I124/2+(J124*MAIN!F$37+K124*MAIN!F$38+(F107-E107))/MAIN!$C$20))</f>
        <v>47.93989114015462</v>
      </c>
      <c r="L135" s="562"/>
      <c r="M135" s="5"/>
      <c r="N135" s="5"/>
      <c r="O135" s="375"/>
    </row>
    <row r="136" spans="1:15" ht="15.75">
      <c r="A136" s="375"/>
      <c r="B136" s="566" t="s">
        <v>195</v>
      </c>
      <c r="C136" s="584">
        <f>SUM(C125:E125)-E136</f>
        <v>0</v>
      </c>
      <c r="D136" s="585"/>
      <c r="E136" s="586">
        <f>IF(MAIN!J$21="C",SUM(C125:E125),C125/2+(D125*MAIN!$F$29+E125*MAIN!$F$30+(D108-C108))/MAIN!$C$18)</f>
        <v>16.4673875</v>
      </c>
      <c r="F136" s="584">
        <f>SUM(F125:H125)-H136</f>
        <v>58.192543474335864</v>
      </c>
      <c r="G136" s="585"/>
      <c r="H136" s="586">
        <f>IF(MAIN!$C$19=0,0,IF(AND(MAIN!J$22="C",MAIN!I$22=3),0,F125/2+(G125*MAIN!$F$33+H125*MAIN!$F$34+(E108-D108))/MAIN!$C$19))</f>
        <v>65.62110985899749</v>
      </c>
      <c r="I136" s="584">
        <f>SUM(I125:K125)-K136</f>
        <v>33.0647666739532</v>
      </c>
      <c r="J136" s="585"/>
      <c r="K136" s="586">
        <f>IF(MAIN!$C$20=0,0,IF(AND(MAIN!J$22="C",MAIN!I$22=4),0,I125/2+(J125*MAIN!F$37+K125*MAIN!F$38+(F108-E108))/MAIN!$C$20))</f>
        <v>14.360134714935688</v>
      </c>
      <c r="L136" s="562"/>
      <c r="M136" s="5"/>
      <c r="N136" s="5"/>
      <c r="O136" s="375"/>
    </row>
    <row r="137" spans="1:15" ht="15.75">
      <c r="A137" s="375"/>
      <c r="B137" s="564" t="s">
        <v>208</v>
      </c>
      <c r="C137" s="591"/>
      <c r="D137" s="592">
        <v>4</v>
      </c>
      <c r="E137" s="593"/>
      <c r="F137" s="591"/>
      <c r="G137" s="592">
        <v>5</v>
      </c>
      <c r="H137" s="593"/>
      <c r="I137" s="591"/>
      <c r="J137" s="592">
        <v>6</v>
      </c>
      <c r="K137" s="593"/>
      <c r="L137" s="562"/>
      <c r="M137" s="5"/>
      <c r="N137" s="5"/>
      <c r="O137" s="375"/>
    </row>
    <row r="138" spans="1:15" ht="15.75">
      <c r="A138" s="375"/>
      <c r="B138" s="566" t="s">
        <v>199</v>
      </c>
      <c r="C138" s="578">
        <f>SUM(C128:E128)-E138</f>
        <v>0</v>
      </c>
      <c r="D138" s="579"/>
      <c r="E138" s="580">
        <f>IF(MAIN!$C$21=0,0,IF(AND(MAIN!J$22="C",MAIN!I$22=5),0,C128/2+(D128*MAIN!$K$29+E128*MAIN!$K$30+(G106-F106))/MAIN!$C$21))</f>
        <v>0</v>
      </c>
      <c r="F138" s="578">
        <f>SUM(F128:H128)-H138</f>
        <v>0</v>
      </c>
      <c r="G138" s="579"/>
      <c r="H138" s="580">
        <f>IF(MAIN!$C$22=0,0,IF(AND(MAIN!J$22="C",MAIN!I$22=6),0,F128/2+(G128*MAIN!$K$33+H128*MAIN!$K$34+(H106-G106))/MAIN!$C$22))</f>
        <v>0</v>
      </c>
      <c r="I138" s="578">
        <f>SUM(I128:K128)-K138</f>
        <v>0</v>
      </c>
      <c r="J138" s="579"/>
      <c r="K138" s="580">
        <f>IF(MAIN!$C$23=0,0,IF(MAIN!J$22="C",0,I128/2+(J128*MAIN!$K$37+K128*MAIN!$K$38+(I106-H106))/MAIN!$C$23))</f>
        <v>0</v>
      </c>
      <c r="L138" s="571"/>
      <c r="M138" s="571"/>
      <c r="N138" s="571"/>
      <c r="O138" s="375"/>
    </row>
    <row r="139" spans="1:15" ht="15.75">
      <c r="A139" s="375"/>
      <c r="B139" s="566" t="s">
        <v>194</v>
      </c>
      <c r="C139" s="581">
        <f>SUM(C129:E129)-E139</f>
        <v>0</v>
      </c>
      <c r="D139" s="582"/>
      <c r="E139" s="583">
        <f>IF(MAIN!$C$21=0,0,IF(AND(MAIN!J$22="C",MAIN!I$22=5),0,C129/2+(D129*MAIN!$K$29+E129*MAIN!$K$30+(G107-F107))/MAIN!$C$21))</f>
        <v>0</v>
      </c>
      <c r="F139" s="581">
        <f>SUM(F129:H129)-H139</f>
        <v>0</v>
      </c>
      <c r="G139" s="582"/>
      <c r="H139" s="583">
        <f>IF(MAIN!$C$22=0,0,IF(AND(MAIN!J$22="C",MAIN!I$22=6),0,F129/2+(G129*MAIN!$K$33+H129*MAIN!$K$34+(H107-G107))/MAIN!$C$22))</f>
        <v>0</v>
      </c>
      <c r="I139" s="581">
        <f>SUM(I129:K129)-K139</f>
        <v>0</v>
      </c>
      <c r="J139" s="582"/>
      <c r="K139" s="583">
        <f>IF(MAIN!$C$23=0,0,IF(MAIN!J$22="C",0,I129/2+(J129*MAIN!$K$37+K129*MAIN!$K$38+(I107-H107))/MAIN!$C$23))</f>
        <v>0</v>
      </c>
      <c r="L139" s="571"/>
      <c r="M139" s="571"/>
      <c r="N139" s="571"/>
      <c r="O139" s="375"/>
    </row>
    <row r="140" spans="1:15" ht="16.5" thickBot="1">
      <c r="A140" s="375"/>
      <c r="B140" s="566" t="s">
        <v>195</v>
      </c>
      <c r="C140" s="581">
        <f>SUM(C130:E130)-E140</f>
        <v>0</v>
      </c>
      <c r="D140" s="617"/>
      <c r="E140" s="583">
        <f>IF(MAIN!$C$21=0,0,IF(AND(MAIN!J$22="C",MAIN!I$22=5),0,C130/2+(D130*MAIN!$K$29+E130*MAIN!$K$30+(G108-F108))/MAIN!$C$21))</f>
        <v>0</v>
      </c>
      <c r="F140" s="581">
        <f>SUM(F130:H130)-H140</f>
        <v>0</v>
      </c>
      <c r="G140" s="617"/>
      <c r="H140" s="583">
        <f>IF(MAIN!$C$22=0,0,IF(AND(MAIN!J$22="C",MAIN!I$22=6),0,F130/2+(G130*MAIN!$K$33+H130*MAIN!$K$34+(H108-G108))/MAIN!$C$22))</f>
        <v>0</v>
      </c>
      <c r="I140" s="581">
        <f>SUM(I130:K130)-K140</f>
        <v>0</v>
      </c>
      <c r="J140" s="617"/>
      <c r="K140" s="583">
        <f>IF(MAIN!$C$23=0,0,IF(MAIN!J$22="C",0,I130/2+(J130*MAIN!$K$37+K130*MAIN!$K$38+(I108-H108))/MAIN!$C$23))</f>
        <v>0</v>
      </c>
      <c r="L140" s="571"/>
      <c r="M140" s="571"/>
      <c r="N140" s="571"/>
      <c r="O140" s="375"/>
    </row>
    <row r="141" spans="1:15" ht="18">
      <c r="A141" s="375"/>
      <c r="B141" s="539" t="str">
        <f>B$2</f>
        <v> Project</v>
      </c>
      <c r="C141" s="540" t="str">
        <f>C$2</f>
        <v>Spreadsheets to BS 8110</v>
      </c>
      <c r="D141" s="542"/>
      <c r="E141" s="542"/>
      <c r="F141" s="542"/>
      <c r="G141" s="618"/>
      <c r="H141" s="618"/>
      <c r="I141" s="618"/>
      <c r="J141" s="618"/>
      <c r="K141" s="542"/>
      <c r="L141" s="542"/>
      <c r="M141" s="542"/>
      <c r="N141" s="619"/>
      <c r="O141" s="375"/>
    </row>
    <row r="142" spans="1:15" ht="18">
      <c r="A142" s="375"/>
      <c r="B142" s="543" t="str">
        <f>B$3</f>
        <v> Location</v>
      </c>
      <c r="C142" s="544" t="str">
        <f>C$3</f>
        <v>3rd Floor slab,  from 1 to 5a</v>
      </c>
      <c r="D142" s="545"/>
      <c r="E142" s="545"/>
      <c r="F142" s="545"/>
      <c r="G142" s="595"/>
      <c r="H142" s="595"/>
      <c r="I142" s="729" t="s">
        <v>403</v>
      </c>
      <c r="J142" s="595"/>
      <c r="K142" s="595"/>
      <c r="L142" s="545"/>
      <c r="M142" s="545"/>
      <c r="N142" s="620"/>
      <c r="O142" s="375"/>
    </row>
    <row r="143" spans="1:15" ht="12.75">
      <c r="A143" s="375"/>
      <c r="B143" s="546"/>
      <c r="C143" s="547" t="str">
        <f>C$4</f>
        <v>RIBBED SLABS to BS 8110:1997 (Analysis &amp; Design)</v>
      </c>
      <c r="D143" s="545"/>
      <c r="E143" s="545"/>
      <c r="F143" s="545"/>
      <c r="G143" s="595"/>
      <c r="H143" s="595"/>
      <c r="I143" s="595"/>
      <c r="J143" s="595"/>
      <c r="K143" s="545"/>
      <c r="L143" s="595"/>
      <c r="M143" s="548" t="str">
        <f>M$4</f>
        <v>Made by  rmw    Job No  R68</v>
      </c>
      <c r="N143" s="620"/>
      <c r="O143" s="375"/>
    </row>
    <row r="144" spans="1:15" ht="13.5" thickBot="1">
      <c r="A144" s="375"/>
      <c r="B144" s="549"/>
      <c r="C144" s="550" t="str">
        <f>C$5</f>
        <v>Originated from  RCC32.xls v2.2 on CD               © 2000-2003 BCA for RCC</v>
      </c>
      <c r="D144" s="552"/>
      <c r="E144" s="552"/>
      <c r="F144" s="552"/>
      <c r="G144" s="621"/>
      <c r="H144" s="621"/>
      <c r="I144" s="621"/>
      <c r="J144" s="621"/>
      <c r="K144" s="552"/>
      <c r="L144" s="553" t="str">
        <f>L$5</f>
        <v> Date</v>
      </c>
      <c r="M144" s="826">
        <f>M$5</f>
        <v>39305</v>
      </c>
      <c r="N144" s="827"/>
      <c r="O144" s="375"/>
    </row>
    <row r="145" spans="1:15" ht="12.75">
      <c r="A145" s="375"/>
      <c r="B145" s="545"/>
      <c r="C145" s="554"/>
      <c r="D145" s="545"/>
      <c r="E145" s="545"/>
      <c r="F145" s="545"/>
      <c r="G145" s="595"/>
      <c r="H145" s="595"/>
      <c r="I145" s="595"/>
      <c r="J145" s="595"/>
      <c r="K145" s="545"/>
      <c r="L145" s="548"/>
      <c r="M145" s="555"/>
      <c r="N145" s="555"/>
      <c r="O145" s="375"/>
    </row>
    <row r="146" spans="1:15" ht="15.75">
      <c r="A146" s="375"/>
      <c r="B146" s="562"/>
      <c r="C146" s="562"/>
      <c r="D146" s="562"/>
      <c r="E146" s="562"/>
      <c r="F146" s="562"/>
      <c r="G146" s="562"/>
      <c r="H146" s="562"/>
      <c r="I146" s="562"/>
      <c r="J146" s="562"/>
      <c r="K146" s="4"/>
      <c r="L146" s="4"/>
      <c r="M146" s="4"/>
      <c r="N146" s="4"/>
      <c r="O146" s="375"/>
    </row>
    <row r="147" spans="1:15" ht="15.75">
      <c r="A147" s="375"/>
      <c r="B147" s="561" t="s">
        <v>94</v>
      </c>
      <c r="C147" s="562"/>
      <c r="D147" s="562"/>
      <c r="E147" s="562"/>
      <c r="F147" s="562"/>
      <c r="G147" s="562"/>
      <c r="H147" s="562"/>
      <c r="I147" s="562"/>
      <c r="J147" s="562"/>
      <c r="K147" s="4"/>
      <c r="L147" s="4"/>
      <c r="M147" s="4"/>
      <c r="N147" s="4"/>
      <c r="O147" s="375"/>
    </row>
    <row r="148" spans="1:15" ht="15.75">
      <c r="A148" s="375"/>
      <c r="B148" s="564" t="s">
        <v>208</v>
      </c>
      <c r="C148" s="591"/>
      <c r="D148" s="592">
        <v>1</v>
      </c>
      <c r="E148" s="593"/>
      <c r="F148" s="591"/>
      <c r="G148" s="592">
        <v>2</v>
      </c>
      <c r="H148" s="593"/>
      <c r="I148" s="591"/>
      <c r="J148" s="592">
        <v>3</v>
      </c>
      <c r="K148" s="593"/>
      <c r="L148" s="4"/>
      <c r="M148" s="4"/>
      <c r="N148" s="4"/>
      <c r="O148" s="375"/>
    </row>
    <row r="149" spans="1:15" ht="15.75">
      <c r="A149" s="375"/>
      <c r="B149" s="566" t="s">
        <v>206</v>
      </c>
      <c r="C149" s="578">
        <f>SUM(C122:E122)-E149</f>
        <v>0</v>
      </c>
      <c r="D149" s="579"/>
      <c r="E149" s="580">
        <f>IF(MAIN!J21="C",SUM(C122:E122),C122/2+(D122*MAIN!$F$29+E122*MAIN!$F$30+(D114-C114))/MAIN!$C$18)</f>
        <v>16.4673875</v>
      </c>
      <c r="F149" s="578">
        <f>SUM(F122:H122)-H149</f>
        <v>26.54143140888899</v>
      </c>
      <c r="G149" s="579"/>
      <c r="H149" s="580">
        <f>IF(H134=0,0,F122/2+(G122*MAIN!$F$33+H122*MAIN!$F$34+(E114-D114))/MAIN!$C$19)</f>
        <v>28.75403525777768</v>
      </c>
      <c r="I149" s="578">
        <f>SUM(I122:K122)-K149</f>
        <v>29.26398415725917</v>
      </c>
      <c r="J149" s="579"/>
      <c r="K149" s="580">
        <f>IF(K134=0,0,I122/2+(J122*MAIN!F$37+K122*MAIN!F$38+(F114-E114))/MAIN!$C$20)</f>
        <v>18.16091723162972</v>
      </c>
      <c r="L149" s="4"/>
      <c r="M149" s="4"/>
      <c r="N149" s="4"/>
      <c r="O149" s="375"/>
    </row>
    <row r="150" spans="1:15" ht="15.75">
      <c r="A150" s="375"/>
      <c r="B150" s="566" t="s">
        <v>199</v>
      </c>
      <c r="C150" s="581">
        <f>SUM(C123:E123)-E150</f>
        <v>0</v>
      </c>
      <c r="D150" s="582"/>
      <c r="E150" s="583">
        <f>(D115-C115-D106+C106)/MAIN!$C$18+E134</f>
        <v>35.8543425</v>
      </c>
      <c r="F150" s="581">
        <f>SUM(F123:H123)-H150</f>
        <v>59.09004631333019</v>
      </c>
      <c r="G150" s="582"/>
      <c r="H150" s="583">
        <f>IF(H134=0,0,(E115-D115-E106+D106)/MAIN!$C$19+H134)</f>
        <v>64.72360702000316</v>
      </c>
      <c r="I150" s="581">
        <f>SUM(I123:K123)-K150</f>
        <v>68.29700496866961</v>
      </c>
      <c r="J150" s="582"/>
      <c r="K150" s="583">
        <f>IF(K134=0,0,(F115-E115-F106+E106)/MAIN!$C$20+K134)</f>
        <v>46.09785697577483</v>
      </c>
      <c r="L150" s="4"/>
      <c r="M150" s="4"/>
      <c r="N150" s="4"/>
      <c r="O150" s="375"/>
    </row>
    <row r="151" spans="1:15" ht="15.75">
      <c r="A151" s="375"/>
      <c r="B151" s="566" t="s">
        <v>194</v>
      </c>
      <c r="C151" s="581">
        <f>SUM(C124:E124)-E151</f>
        <v>0</v>
      </c>
      <c r="D151" s="582"/>
      <c r="E151" s="583">
        <f>(D116-C116-D107+C107)/MAIN!$C$18+E135</f>
        <v>35.8543425</v>
      </c>
      <c r="F151" s="581">
        <f>SUM(F124:H124)-H151</f>
        <v>23.852456397392903</v>
      </c>
      <c r="G151" s="582"/>
      <c r="H151" s="583">
        <f>IF(H135=0,0,(E116-D116-E107+D107)/MAIN!$C$19+H135)</f>
        <v>31.443010269273767</v>
      </c>
      <c r="I151" s="581">
        <f>SUM(I124:K124)-K151</f>
        <v>67.84360177909997</v>
      </c>
      <c r="J151" s="582"/>
      <c r="K151" s="583">
        <f>IF(K135=0,0,(F116-E116-F107+E107)/MAIN!$C$20+K135)</f>
        <v>46.55126016534448</v>
      </c>
      <c r="L151" s="4"/>
      <c r="M151" s="4"/>
      <c r="N151" s="4"/>
      <c r="O151" s="375"/>
    </row>
    <row r="152" spans="1:15" ht="15.75">
      <c r="A152" s="375"/>
      <c r="B152" s="566" t="s">
        <v>195</v>
      </c>
      <c r="C152" s="584">
        <f>SUM(C125:E125)-E152</f>
        <v>0</v>
      </c>
      <c r="D152" s="585"/>
      <c r="E152" s="586">
        <f>(D117-C117-D108+C108)/MAIN!$C$18+E136</f>
        <v>16.4673875</v>
      </c>
      <c r="F152" s="584">
        <f>SUM(F125:H125)-H152</f>
        <v>56.68949269191481</v>
      </c>
      <c r="G152" s="585"/>
      <c r="H152" s="586">
        <f>IF(H136=0,0,(E117-D117-E108+D108)/MAIN!$C$19+H136)</f>
        <v>67.12416064141854</v>
      </c>
      <c r="I152" s="584">
        <f>SUM(I125:K125)-K152</f>
        <v>34.46761407087952</v>
      </c>
      <c r="J152" s="585"/>
      <c r="K152" s="586">
        <f>IF(K136=0,0,(F117-E117-F108+E108)/MAIN!$C$20+K136)</f>
        <v>12.957287318009374</v>
      </c>
      <c r="L152" s="4"/>
      <c r="M152" s="4"/>
      <c r="N152" s="4"/>
      <c r="O152" s="375"/>
    </row>
    <row r="153" spans="1:15" ht="15.75">
      <c r="A153" s="375"/>
      <c r="B153" s="564" t="s">
        <v>208</v>
      </c>
      <c r="C153" s="591"/>
      <c r="D153" s="592">
        <v>4</v>
      </c>
      <c r="E153" s="593"/>
      <c r="F153" s="591"/>
      <c r="G153" s="592">
        <v>5</v>
      </c>
      <c r="H153" s="593"/>
      <c r="I153" s="591"/>
      <c r="J153" s="592">
        <v>6</v>
      </c>
      <c r="K153" s="593"/>
      <c r="L153" s="4"/>
      <c r="M153" s="4"/>
      <c r="N153" s="4"/>
      <c r="O153" s="375"/>
    </row>
    <row r="154" spans="1:15" ht="15.75">
      <c r="A154" s="375"/>
      <c r="B154" s="566" t="s">
        <v>206</v>
      </c>
      <c r="C154" s="578">
        <f>SUM(C127:E127)-E154</f>
        <v>0</v>
      </c>
      <c r="D154" s="579"/>
      <c r="E154" s="580">
        <f>IF(E138=0,0,C127/2+(D127*MAIN!K$29+E127*MAIN!K$30+(G114-F114))/MAIN!$C$21)</f>
        <v>0</v>
      </c>
      <c r="F154" s="578">
        <f>SUM(F127:H127)-H154</f>
        <v>0</v>
      </c>
      <c r="G154" s="579"/>
      <c r="H154" s="580">
        <f>IF(H138=0,0,F127/2+(G127*MAIN!K$33+H127*MAIN!K$34+(H114-G114))/MAIN!$C$22)</f>
        <v>0</v>
      </c>
      <c r="I154" s="578">
        <f>SUM(I127:K127)-K154</f>
        <v>0</v>
      </c>
      <c r="J154" s="579"/>
      <c r="K154" s="580">
        <f>IF(K138=0,0,I127/2+(J127*MAIN!K$37+K127*MAIN!K$38+(I114-H114))/MAIN!$C$23)</f>
        <v>0</v>
      </c>
      <c r="L154" s="4"/>
      <c r="M154" s="4"/>
      <c r="N154" s="4"/>
      <c r="O154" s="375"/>
    </row>
    <row r="155" spans="1:15" ht="15.75">
      <c r="A155" s="375"/>
      <c r="B155" s="566" t="s">
        <v>199</v>
      </c>
      <c r="C155" s="581">
        <f>SUM(C128:E128)-E155</f>
        <v>0</v>
      </c>
      <c r="D155" s="582"/>
      <c r="E155" s="583">
        <f>IF(E138=0,0,(G115-F115-G106+F106)/MAIN!$C$21+E138)</f>
        <v>0</v>
      </c>
      <c r="F155" s="581">
        <f>SUM(F128:H128)-H155</f>
        <v>0</v>
      </c>
      <c r="G155" s="582"/>
      <c r="H155" s="583">
        <f>IF(H138=0,0,(H115-G115-H106+G106)/MAIN!$C$22+H138)</f>
        <v>0</v>
      </c>
      <c r="I155" s="581">
        <f>SUM(I128:K128)-K155</f>
        <v>0</v>
      </c>
      <c r="J155" s="582"/>
      <c r="K155" s="583">
        <f>IF(K138=0,0,(I115-H115-I106+H106)/MAIN!$C$23+K138)</f>
        <v>0</v>
      </c>
      <c r="L155" s="4"/>
      <c r="M155" s="4"/>
      <c r="N155" s="4"/>
      <c r="O155" s="375"/>
    </row>
    <row r="156" spans="1:15" ht="15.75">
      <c r="A156" s="375"/>
      <c r="B156" s="566" t="s">
        <v>194</v>
      </c>
      <c r="C156" s="581">
        <f>SUM(C129:E129)-E156</f>
        <v>0</v>
      </c>
      <c r="D156" s="582"/>
      <c r="E156" s="583">
        <f>IF(E139=0,0,(G116-F116-G107+F107)/MAIN!$C$21+E139)</f>
        <v>0</v>
      </c>
      <c r="F156" s="581">
        <f>SUM(F129:H129)-H156</f>
        <v>0</v>
      </c>
      <c r="G156" s="582"/>
      <c r="H156" s="583">
        <f>IF(H139=0,0,(H116-G116-H107+G107)/MAIN!$C$22+H139)</f>
        <v>0</v>
      </c>
      <c r="I156" s="581">
        <f>SUM(I129:K129)-K156</f>
        <v>0</v>
      </c>
      <c r="J156" s="582"/>
      <c r="K156" s="583">
        <f>IF(K139=0,0,(I116-H116-I107+H107)/MAIN!$C$23+K139)</f>
        <v>0</v>
      </c>
      <c r="L156" s="4"/>
      <c r="M156" s="4"/>
      <c r="N156" s="4"/>
      <c r="O156" s="375"/>
    </row>
    <row r="157" spans="1:15" ht="15.75">
      <c r="A157" s="375"/>
      <c r="B157" s="566" t="s">
        <v>195</v>
      </c>
      <c r="C157" s="584">
        <f>SUM(C130:E130)-E157</f>
        <v>0</v>
      </c>
      <c r="D157" s="585"/>
      <c r="E157" s="586">
        <f>IF(E140=0,0,(G117-F117-G108+F108)/MAIN!$C$21+E140)</f>
        <v>0</v>
      </c>
      <c r="F157" s="584">
        <f>SUM(F130:H130)-H157</f>
        <v>0</v>
      </c>
      <c r="G157" s="585"/>
      <c r="H157" s="586">
        <f>IF(H140=0,0,(H117-G117-H108+G108)/MAIN!$C$22+H140)</f>
        <v>0</v>
      </c>
      <c r="I157" s="584">
        <f>SUM(I130:K130)-K157</f>
        <v>0</v>
      </c>
      <c r="J157" s="585"/>
      <c r="K157" s="586">
        <f>IF(K140=0,0,(I117-H117-I108+H108)/MAIN!$C$23+K140)</f>
        <v>0</v>
      </c>
      <c r="L157" s="4"/>
      <c r="M157" s="4"/>
      <c r="N157" s="4"/>
      <c r="O157" s="375"/>
    </row>
    <row r="158" spans="1:15" ht="15.75">
      <c r="A158" s="375"/>
      <c r="B158" s="562"/>
      <c r="C158" s="562"/>
      <c r="D158" s="562"/>
      <c r="E158" s="562"/>
      <c r="F158" s="562"/>
      <c r="G158" s="562"/>
      <c r="H158" s="562"/>
      <c r="I158" s="562"/>
      <c r="J158" s="562"/>
      <c r="K158" s="4"/>
      <c r="L158" s="4"/>
      <c r="M158" s="4"/>
      <c r="N158" s="4"/>
      <c r="O158" s="375"/>
    </row>
    <row r="159" spans="1:15" ht="15">
      <c r="A159" s="375"/>
      <c r="B159" s="561" t="s">
        <v>211</v>
      </c>
      <c r="C159" s="562"/>
      <c r="D159" s="562"/>
      <c r="E159" s="562"/>
      <c r="F159" s="562"/>
      <c r="G159" s="562"/>
      <c r="H159" s="562"/>
      <c r="I159" s="562"/>
      <c r="J159" s="562"/>
      <c r="K159" s="562"/>
      <c r="L159" s="562"/>
      <c r="M159" s="562"/>
      <c r="N159" s="562"/>
      <c r="O159" s="375"/>
    </row>
    <row r="160" spans="1:15" ht="14.25">
      <c r="A160" s="375"/>
      <c r="B160" s="564" t="s">
        <v>198</v>
      </c>
      <c r="C160" s="596">
        <v>1</v>
      </c>
      <c r="D160" s="596">
        <v>2</v>
      </c>
      <c r="E160" s="596">
        <v>3</v>
      </c>
      <c r="F160" s="596">
        <v>4</v>
      </c>
      <c r="G160" s="596">
        <v>5</v>
      </c>
      <c r="H160" s="596">
        <v>6</v>
      </c>
      <c r="I160" s="596">
        <v>7</v>
      </c>
      <c r="J160" s="562"/>
      <c r="K160" s="562"/>
      <c r="L160" s="562"/>
      <c r="M160" s="562"/>
      <c r="N160" s="562"/>
      <c r="O160" s="375"/>
    </row>
    <row r="161" spans="1:15" ht="15">
      <c r="A161" s="375"/>
      <c r="B161" s="566" t="s">
        <v>199</v>
      </c>
      <c r="C161" s="567">
        <f>(C150-MAIN!I$41*MAIN!D53)/MAIN!I$42</f>
        <v>0</v>
      </c>
      <c r="D161" s="567">
        <f>(SUM(E150:F150)-MAIN!I$41*MAIN!E53)/MAIN!I$42</f>
        <v>21.707526463053508</v>
      </c>
      <c r="E161" s="567">
        <f>(SUM(H150:I150)-MAIN!I$41*MAIN!F53)/MAIN!I$42</f>
        <v>32.37211550476325</v>
      </c>
      <c r="F161" s="567">
        <f>(SUM(K150+C155)-MAIN!I$41*MAIN!G$53)/MAIN!I$42</f>
        <v>12.920358032183264</v>
      </c>
      <c r="G161" s="567" t="e">
        <f>(SUM(E155:F155)-MAIN!I$41*MAIN!H$53)/MAIN!I$42</f>
        <v>#VALUE!</v>
      </c>
      <c r="H161" s="567" t="e">
        <f>(SUM(H155:I155)-MAIN!I$41*MAIN!I$53)/MAIN!I$42</f>
        <v>#VALUE!</v>
      </c>
      <c r="I161" s="567" t="e">
        <f>(K155-MAIN!I$41*MAIN!J$53)/MAIN!I$42</f>
        <v>#VALUE!</v>
      </c>
      <c r="J161" s="562"/>
      <c r="K161" s="562"/>
      <c r="L161" s="562"/>
      <c r="M161" s="562"/>
      <c r="N161" s="562"/>
      <c r="O161" s="375"/>
    </row>
    <row r="162" spans="1:15" ht="15">
      <c r="A162" s="375"/>
      <c r="B162" s="566" t="s">
        <v>194</v>
      </c>
      <c r="C162" s="568">
        <f>(C151-MAIN!I$41*MAIN!D53)/MAIN!I$42</f>
        <v>0</v>
      </c>
      <c r="D162" s="568">
        <f>(SUM(E151:F151)-MAIN!I$41*MAIN!E53)/MAIN!I$42</f>
        <v>-0.31596723440729946</v>
      </c>
      <c r="E162" s="568">
        <f>(SUM(H151:I151)-MAIN!I$41*MAIN!F53)/MAIN!I$42</f>
        <v>11.28836554207635</v>
      </c>
      <c r="F162" s="568">
        <f>(SUM(K151+C156)-MAIN!I$41*MAIN!G$53)/MAIN!I$42</f>
        <v>13.203735025664296</v>
      </c>
      <c r="G162" s="568" t="e">
        <f>(SUM(E156:F156)-MAIN!I$41*MAIN!H$53)/MAIN!I$42</f>
        <v>#VALUE!</v>
      </c>
      <c r="H162" s="568" t="e">
        <f>(SUM(H156:I156)-MAIN!I$41*MAIN!I$53)/MAIN!I$42</f>
        <v>#VALUE!</v>
      </c>
      <c r="I162" s="568" t="e">
        <f>(K156-MAIN!I$41*MAIN!J$53)/MAIN!I$42</f>
        <v>#VALUE!</v>
      </c>
      <c r="J162" s="562"/>
      <c r="K162" s="562"/>
      <c r="L162" s="562"/>
      <c r="M162" s="562"/>
      <c r="N162" s="562"/>
      <c r="O162" s="375"/>
    </row>
    <row r="163" spans="1:15" ht="15">
      <c r="A163" s="375"/>
      <c r="B163" s="566" t="s">
        <v>195</v>
      </c>
      <c r="C163" s="569">
        <f>(C152-MAIN!I$41*MAIN!D53)/MAIN!I$42</f>
        <v>0</v>
      </c>
      <c r="D163" s="569">
        <f>(SUM(E152:F152)-MAIN!I$41*MAIN!E53)/MAIN!I$42</f>
        <v>8.090333574668893</v>
      </c>
      <c r="E163" s="569">
        <f>(SUM(H152:I152)-MAIN!I$41*MAIN!F53)/MAIN!I$42</f>
        <v>12.729092207029051</v>
      </c>
      <c r="F163" s="569">
        <f>(SUM(K152+C157)-MAIN!I$41*MAIN!G$53)/MAIN!I$42</f>
        <v>-7.792498003920145</v>
      </c>
      <c r="G163" s="569" t="e">
        <f>(SUM(E157:F157)-MAIN!I$41*MAIN!H$53)/MAIN!I$42</f>
        <v>#VALUE!</v>
      </c>
      <c r="H163" s="569" t="e">
        <f>(SUM(H157:I157)-MAIN!I$41*MAIN!I$53)/MAIN!I$42</f>
        <v>#VALUE!</v>
      </c>
      <c r="I163" s="569" t="e">
        <f>(K157-MAIN!I$41*MAIN!J$53)/MAIN!I$42</f>
        <v>#VALUE!</v>
      </c>
      <c r="J163" s="562"/>
      <c r="K163" s="562"/>
      <c r="L163" s="562"/>
      <c r="M163" s="562"/>
      <c r="N163" s="562"/>
      <c r="O163" s="375"/>
    </row>
    <row r="164" spans="1:15" ht="12.75">
      <c r="A164" s="375"/>
      <c r="B164" s="562"/>
      <c r="C164" s="562"/>
      <c r="D164" s="562"/>
      <c r="E164" s="562"/>
      <c r="F164" s="562"/>
      <c r="G164" s="562"/>
      <c r="H164" s="562"/>
      <c r="I164" s="562"/>
      <c r="J164" s="562"/>
      <c r="K164" s="562"/>
      <c r="L164" s="562"/>
      <c r="M164" s="562"/>
      <c r="N164" s="562"/>
      <c r="O164" s="375"/>
    </row>
    <row r="165" spans="1:15" ht="18">
      <c r="A165" s="375"/>
      <c r="B165" s="597" t="s">
        <v>212</v>
      </c>
      <c r="C165" s="562"/>
      <c r="D165" s="562"/>
      <c r="E165" s="562"/>
      <c r="F165" s="562"/>
      <c r="G165" s="562"/>
      <c r="H165" s="562"/>
      <c r="I165" s="562"/>
      <c r="J165" s="562"/>
      <c r="K165" s="562"/>
      <c r="L165" s="562"/>
      <c r="M165" s="562"/>
      <c r="N165" s="562"/>
      <c r="O165" s="375"/>
    </row>
    <row r="166" spans="1:15" ht="15.75">
      <c r="A166" s="375"/>
      <c r="B166" s="730" t="s">
        <v>47</v>
      </c>
      <c r="C166" s="570"/>
      <c r="D166" s="591" t="s">
        <v>27</v>
      </c>
      <c r="E166" s="592" t="s">
        <v>213</v>
      </c>
      <c r="F166" s="592" t="s">
        <v>209</v>
      </c>
      <c r="G166" s="592" t="s">
        <v>213</v>
      </c>
      <c r="H166" s="592" t="s">
        <v>210</v>
      </c>
      <c r="I166" s="592" t="s">
        <v>213</v>
      </c>
      <c r="J166" s="593" t="s">
        <v>28</v>
      </c>
      <c r="K166" s="562"/>
      <c r="L166" s="562"/>
      <c r="M166" s="562"/>
      <c r="N166" s="562"/>
      <c r="O166" s="375"/>
    </row>
    <row r="167" spans="1:15" ht="15.75">
      <c r="A167" s="375"/>
      <c r="B167" s="566" t="s">
        <v>214</v>
      </c>
      <c r="C167" s="599" t="s">
        <v>215</v>
      </c>
      <c r="D167" s="578">
        <f>C134</f>
        <v>0</v>
      </c>
      <c r="E167" s="579"/>
      <c r="F167" s="579"/>
      <c r="G167" s="579"/>
      <c r="H167" s="579"/>
      <c r="I167" s="579"/>
      <c r="J167" s="580">
        <f>E134</f>
        <v>35.8543425</v>
      </c>
      <c r="K167" s="571"/>
      <c r="L167" s="571"/>
      <c r="M167" s="562"/>
      <c r="N167" s="562"/>
      <c r="O167" s="375"/>
    </row>
    <row r="168" spans="1:15" ht="15.75">
      <c r="A168" s="375"/>
      <c r="B168" s="566"/>
      <c r="C168" s="599" t="s">
        <v>216</v>
      </c>
      <c r="D168" s="581">
        <f>C135</f>
        <v>0</v>
      </c>
      <c r="E168" s="582"/>
      <c r="F168" s="582"/>
      <c r="G168" s="582"/>
      <c r="H168" s="582"/>
      <c r="I168" s="582"/>
      <c r="J168" s="583">
        <f>E135</f>
        <v>35.8543425</v>
      </c>
      <c r="K168" s="571"/>
      <c r="L168" s="571"/>
      <c r="M168" s="562"/>
      <c r="N168" s="562"/>
      <c r="O168" s="375"/>
    </row>
    <row r="169" spans="1:15" ht="15.75">
      <c r="A169" s="375"/>
      <c r="B169" s="566"/>
      <c r="C169" s="599" t="s">
        <v>217</v>
      </c>
      <c r="D169" s="581">
        <f>C136</f>
        <v>0</v>
      </c>
      <c r="E169" s="582"/>
      <c r="F169" s="600" t="s">
        <v>218</v>
      </c>
      <c r="G169" s="600"/>
      <c r="H169" s="600"/>
      <c r="I169" s="582"/>
      <c r="J169" s="583">
        <f>E136</f>
        <v>16.4673875</v>
      </c>
      <c r="K169" s="571"/>
      <c r="L169" s="571"/>
      <c r="M169" s="562"/>
      <c r="N169" s="562"/>
      <c r="O169" s="375"/>
    </row>
    <row r="170" spans="1:15" ht="15.75">
      <c r="A170" s="375"/>
      <c r="B170" s="566" t="s">
        <v>219</v>
      </c>
      <c r="C170" s="599" t="s">
        <v>215</v>
      </c>
      <c r="D170" s="581">
        <f>C150</f>
        <v>0</v>
      </c>
      <c r="E170" s="582"/>
      <c r="F170" s="82">
        <f>MAIN!I41*(MAIN!C28+MAIN!D28)+MAIN!I42*MAIN!E28</f>
        <v>17.92717125</v>
      </c>
      <c r="G170" s="83">
        <f aca="true" t="shared" si="8" ref="G170:H172">D123</f>
        <v>0</v>
      </c>
      <c r="H170" s="84">
        <f t="shared" si="8"/>
        <v>0</v>
      </c>
      <c r="I170" s="582"/>
      <c r="J170" s="583">
        <f>E150</f>
        <v>35.8543425</v>
      </c>
      <c r="K170" s="571"/>
      <c r="L170" s="571"/>
      <c r="M170" s="562"/>
      <c r="N170" s="562"/>
      <c r="O170" s="375"/>
    </row>
    <row r="171" spans="1:15" ht="15.75">
      <c r="A171" s="375"/>
      <c r="B171" s="566"/>
      <c r="C171" s="599" t="s">
        <v>216</v>
      </c>
      <c r="D171" s="581">
        <f>C151</f>
        <v>0</v>
      </c>
      <c r="E171" s="582"/>
      <c r="F171" s="85">
        <f>F170</f>
        <v>17.92717125</v>
      </c>
      <c r="G171" s="86">
        <f t="shared" si="8"/>
        <v>0</v>
      </c>
      <c r="H171" s="87">
        <f t="shared" si="8"/>
        <v>0</v>
      </c>
      <c r="I171" s="582"/>
      <c r="J171" s="583">
        <f>E151</f>
        <v>35.8543425</v>
      </c>
      <c r="K171" s="571"/>
      <c r="L171" s="571"/>
      <c r="M171" s="562"/>
      <c r="N171" s="562"/>
      <c r="O171" s="375"/>
    </row>
    <row r="172" spans="1:15" ht="15.75">
      <c r="A172" s="375"/>
      <c r="B172" s="566"/>
      <c r="C172" s="599" t="s">
        <v>217</v>
      </c>
      <c r="D172" s="581">
        <f>C152</f>
        <v>0</v>
      </c>
      <c r="E172" s="582"/>
      <c r="F172" s="88">
        <f>(MAIN!C28+MAIN!D28)*MAIN!H41</f>
        <v>8.23369375</v>
      </c>
      <c r="G172" s="89">
        <f t="shared" si="8"/>
        <v>0</v>
      </c>
      <c r="H172" s="90">
        <f t="shared" si="8"/>
        <v>0</v>
      </c>
      <c r="I172" s="582"/>
      <c r="J172" s="583">
        <f>E152</f>
        <v>16.4673875</v>
      </c>
      <c r="K172" s="571"/>
      <c r="L172" s="571"/>
      <c r="M172" s="562"/>
      <c r="N172" s="562"/>
      <c r="O172" s="375"/>
    </row>
    <row r="173" spans="1:15" ht="15.75">
      <c r="A173" s="375"/>
      <c r="B173" s="566" t="s">
        <v>220</v>
      </c>
      <c r="C173" s="599" t="s">
        <v>215</v>
      </c>
      <c r="D173" s="581"/>
      <c r="E173" s="582">
        <f>MAX(0,D167/F170)</f>
        <v>0</v>
      </c>
      <c r="F173" s="582">
        <f>MAIN!F29</f>
        <v>0</v>
      </c>
      <c r="G173" s="582">
        <f>MIN((D167-G170)/F170,MAIN!C$18)</f>
        <v>0</v>
      </c>
      <c r="H173" s="582">
        <f>MAIN!F30</f>
        <v>0</v>
      </c>
      <c r="I173" s="582">
        <f>MIN((D167-G170-H170)/F170,MAIN!C$18)</f>
        <v>0</v>
      </c>
      <c r="J173" s="583"/>
      <c r="K173" s="571"/>
      <c r="L173" s="571"/>
      <c r="M173" s="562"/>
      <c r="N173" s="562"/>
      <c r="O173" s="375"/>
    </row>
    <row r="174" spans="1:15" ht="15.75">
      <c r="A174" s="375"/>
      <c r="B174" s="566"/>
      <c r="C174" s="599" t="s">
        <v>216</v>
      </c>
      <c r="D174" s="581"/>
      <c r="E174" s="582">
        <f>MAX(0,D168/F171)</f>
        <v>0</v>
      </c>
      <c r="F174" s="582">
        <f>F173</f>
        <v>0</v>
      </c>
      <c r="G174" s="582">
        <f>MIN((D168-G171)/F171,MAIN!C$18)</f>
        <v>0</v>
      </c>
      <c r="H174" s="582">
        <f>H173</f>
        <v>0</v>
      </c>
      <c r="I174" s="582">
        <f>MIN((D168-G171-H171)/F171,MAIN!C$18)</f>
        <v>0</v>
      </c>
      <c r="J174" s="583"/>
      <c r="K174" s="571"/>
      <c r="L174" s="571"/>
      <c r="M174" s="562"/>
      <c r="N174" s="562"/>
      <c r="O174" s="375"/>
    </row>
    <row r="175" spans="1:15" ht="15.75">
      <c r="A175" s="375"/>
      <c r="B175" s="566"/>
      <c r="C175" s="599" t="s">
        <v>217</v>
      </c>
      <c r="D175" s="581"/>
      <c r="E175" s="582">
        <f>MAX(0,D169/F172)</f>
        <v>0</v>
      </c>
      <c r="F175" s="582">
        <f>F173</f>
        <v>0</v>
      </c>
      <c r="G175" s="582">
        <f>MIN((D169-G172)/F172,MAIN!C$18)</f>
        <v>0</v>
      </c>
      <c r="H175" s="582">
        <f>H173</f>
        <v>0</v>
      </c>
      <c r="I175" s="582">
        <f>MIN((D169-G172-H172)/F172,MAIN!C$18)</f>
        <v>0</v>
      </c>
      <c r="J175" s="583"/>
      <c r="K175" s="571"/>
      <c r="L175" s="571"/>
      <c r="M175" s="562"/>
      <c r="N175" s="562"/>
      <c r="O175" s="375"/>
    </row>
    <row r="176" spans="1:15" ht="15.75">
      <c r="A176" s="375"/>
      <c r="B176" s="566" t="s">
        <v>221</v>
      </c>
      <c r="C176" s="599" t="s">
        <v>215</v>
      </c>
      <c r="D176" s="581"/>
      <c r="E176" s="582">
        <f>MAX(0,D170/F170)</f>
        <v>0</v>
      </c>
      <c r="F176" s="582">
        <f>F175</f>
        <v>0</v>
      </c>
      <c r="G176" s="582">
        <f>MIN((D170-G170)/F170,MAIN!C$18)</f>
        <v>0</v>
      </c>
      <c r="H176" s="582">
        <f>H175</f>
        <v>0</v>
      </c>
      <c r="I176" s="582">
        <f>MIN((D170-G170-H170)/F170,MAIN!C$18)</f>
        <v>0</v>
      </c>
      <c r="J176" s="583"/>
      <c r="K176" s="571"/>
      <c r="L176" s="571"/>
      <c r="M176" s="562"/>
      <c r="N176" s="562"/>
      <c r="O176" s="375"/>
    </row>
    <row r="177" spans="1:15" ht="15.75">
      <c r="A177" s="375"/>
      <c r="B177" s="566"/>
      <c r="C177" s="599" t="s">
        <v>216</v>
      </c>
      <c r="D177" s="581"/>
      <c r="E177" s="582">
        <f>MAX(0,D171/F171)</f>
        <v>0</v>
      </c>
      <c r="F177" s="582">
        <f>F176</f>
        <v>0</v>
      </c>
      <c r="G177" s="582">
        <f>MIN((D171-G171)/F171,MAIN!C$18)</f>
        <v>0</v>
      </c>
      <c r="H177" s="582">
        <f>H176</f>
        <v>0</v>
      </c>
      <c r="I177" s="582">
        <f>MIN((D171-G171-H171)/F171,MAIN!C$18)</f>
        <v>0</v>
      </c>
      <c r="J177" s="583"/>
      <c r="K177" s="601" t="s">
        <v>222</v>
      </c>
      <c r="L177" s="602"/>
      <c r="M177" s="562"/>
      <c r="N177" s="562"/>
      <c r="O177" s="375"/>
    </row>
    <row r="178" spans="1:15" ht="15.75">
      <c r="A178" s="375"/>
      <c r="B178" s="566"/>
      <c r="C178" s="599" t="s">
        <v>217</v>
      </c>
      <c r="D178" s="581"/>
      <c r="E178" s="582">
        <f>MAX(0,D172/F172)</f>
        <v>0</v>
      </c>
      <c r="F178" s="582">
        <f>F177</f>
        <v>0</v>
      </c>
      <c r="G178" s="582">
        <f>MIN((D172-G172)/F172,MAIN!C$18)</f>
        <v>0</v>
      </c>
      <c r="H178" s="582">
        <f>H177</f>
        <v>0</v>
      </c>
      <c r="I178" s="582">
        <f>MIN((D172-G172-H172)/F172,MAIN!C$18)</f>
        <v>0</v>
      </c>
      <c r="J178" s="583"/>
      <c r="K178" s="572" t="s">
        <v>223</v>
      </c>
      <c r="L178" s="603"/>
      <c r="M178" s="562"/>
      <c r="N178" s="562"/>
      <c r="O178" s="375"/>
    </row>
    <row r="179" spans="1:15" ht="15.75">
      <c r="A179" s="375"/>
      <c r="B179" s="566" t="s">
        <v>224</v>
      </c>
      <c r="C179" s="599" t="s">
        <v>215</v>
      </c>
      <c r="D179" s="581">
        <f>C106</f>
        <v>0</v>
      </c>
      <c r="E179" s="582">
        <f>IF(E173&gt;F173,0,D167*E173-F170*E173^2/2-D179)</f>
        <v>0</v>
      </c>
      <c r="F179" s="582">
        <f>D167*F173-F170*F173^2/2-D179</f>
        <v>0</v>
      </c>
      <c r="G179" s="582">
        <f>IF(F173&gt;G173,0,D167*G173-F170*G173^2/2-G170*(G173-F173)-D179)</f>
        <v>0</v>
      </c>
      <c r="H179" s="582">
        <f>D167*H173-F170*H173^2/2-G170*(H173-F173)-D179</f>
        <v>0</v>
      </c>
      <c r="I179" s="582">
        <f>IF(I173&lt;H173,0,D167*I173-F170*I173^2/2-G170*(I173-F173)-H170*(I173-H173)-D179)</f>
        <v>0</v>
      </c>
      <c r="J179" s="583">
        <f>D106</f>
        <v>35.8543425</v>
      </c>
      <c r="K179" s="604">
        <f>MAX(E179:I179)</f>
        <v>0</v>
      </c>
      <c r="L179" s="605"/>
      <c r="M179" s="562"/>
      <c r="N179" s="562"/>
      <c r="O179" s="375"/>
    </row>
    <row r="180" spans="1:15" ht="15.75">
      <c r="A180" s="375"/>
      <c r="B180" s="566"/>
      <c r="C180" s="599" t="s">
        <v>216</v>
      </c>
      <c r="D180" s="581">
        <f>C107</f>
        <v>0</v>
      </c>
      <c r="E180" s="582">
        <f>IF(E174&gt;F174,0,D168*E174-F171*E174^2/2-D180)</f>
        <v>0</v>
      </c>
      <c r="F180" s="582">
        <f>D168*F174-F171*F174^2/2-D180</f>
        <v>0</v>
      </c>
      <c r="G180" s="582">
        <f>IF(F174&gt;G174,0,D168*G174-F171*G174^2/2-G171*(G174-F174)-D180)</f>
        <v>0</v>
      </c>
      <c r="H180" s="582">
        <f>D168*H174-F171*H174^2/2-G171*(H174-F174)-D180</f>
        <v>0</v>
      </c>
      <c r="I180" s="582">
        <f>IF(I174&lt;H174,0,D168*I174-F171*I174^2/2-G171*(I174-F174)-H171*(I174-H174)-D180)</f>
        <v>0</v>
      </c>
      <c r="J180" s="583">
        <f>D107</f>
        <v>35.8543425</v>
      </c>
      <c r="K180" s="604">
        <f>MAX(E180:I180)</f>
        <v>0</v>
      </c>
      <c r="L180" s="605"/>
      <c r="M180" s="562"/>
      <c r="N180" s="562"/>
      <c r="O180" s="375"/>
    </row>
    <row r="181" spans="1:15" ht="15">
      <c r="A181" s="375"/>
      <c r="B181" s="566"/>
      <c r="C181" s="599" t="s">
        <v>217</v>
      </c>
      <c r="D181" s="581">
        <f>C108</f>
        <v>0</v>
      </c>
      <c r="E181" s="582">
        <f>IF(E175&gt;F175,0,D169*E175-F172*E175^2/2-D181)</f>
        <v>0</v>
      </c>
      <c r="F181" s="582">
        <f>D169*F175-F172*F175^2/2-D181</f>
        <v>0</v>
      </c>
      <c r="G181" s="582">
        <f>IF(F175&gt;G175,0,D169*G175-F172*G175^2/2-G172*(G175-F175)-D181)</f>
        <v>0</v>
      </c>
      <c r="H181" s="582">
        <f>D169*H175-F172*H175^2/2-G172*(H175-F175)-D181</f>
        <v>0</v>
      </c>
      <c r="I181" s="582">
        <f>IF(I175&lt;H175,0,D169*I175-F172*I175^2/2-G172*(I175-F175)-H172*(I175-H175)-D181)</f>
        <v>0</v>
      </c>
      <c r="J181" s="583">
        <f>D108</f>
        <v>16.4673875</v>
      </c>
      <c r="K181" s="604">
        <f>MAX(E181:I181)</f>
        <v>0</v>
      </c>
      <c r="L181" s="606" t="s">
        <v>106</v>
      </c>
      <c r="M181" s="562"/>
      <c r="N181" s="562"/>
      <c r="O181" s="375"/>
    </row>
    <row r="182" spans="1:15" ht="15">
      <c r="A182" s="375"/>
      <c r="B182" s="566" t="s">
        <v>225</v>
      </c>
      <c r="C182" s="599" t="s">
        <v>215</v>
      </c>
      <c r="D182" s="581">
        <f>C115</f>
        <v>0</v>
      </c>
      <c r="E182" s="582">
        <f>IF(E176&gt;F176,0,D170*E176-F170*E176^2/2-D182)</f>
        <v>0</v>
      </c>
      <c r="F182" s="582">
        <f>D170*F176-F170*F176^2/2-D182</f>
        <v>0</v>
      </c>
      <c r="G182" s="582">
        <f>IF(F176&gt;G176,0,D170*G176-F170*G176^2/2-G170*(G176-F176)-D182)</f>
        <v>0</v>
      </c>
      <c r="H182" s="582">
        <f>D170*H176-F170*H176^2/2-G170*(H176-F176)-D182</f>
        <v>0</v>
      </c>
      <c r="I182" s="582">
        <f>IF(I176&lt;H176,0,D170*I176-F170*I176^2/2-G170*(I176-F176)-H170*(I176-H176)-D182)</f>
        <v>0</v>
      </c>
      <c r="J182" s="583">
        <f>D115</f>
        <v>35.8543425</v>
      </c>
      <c r="K182" s="604">
        <f>MAX(E182:I182,0.7*K179)</f>
        <v>0</v>
      </c>
      <c r="L182" s="607">
        <f>IF(K179=0,0,K182/K179)</f>
        <v>0</v>
      </c>
      <c r="M182" s="562"/>
      <c r="N182" s="562"/>
      <c r="O182" s="375"/>
    </row>
    <row r="183" spans="1:15" ht="15">
      <c r="A183" s="375"/>
      <c r="B183" s="566"/>
      <c r="C183" s="599" t="s">
        <v>216</v>
      </c>
      <c r="D183" s="581">
        <f>C116</f>
        <v>0</v>
      </c>
      <c r="E183" s="582">
        <f>IF(E177&gt;F177,0,D171*E177-F171*E177^2/2-D183)</f>
        <v>0</v>
      </c>
      <c r="F183" s="582">
        <f>D171*F177-F171*F177^2/2-D183</f>
        <v>0</v>
      </c>
      <c r="G183" s="582">
        <f>IF(F177&gt;G177,0,D171*G177-F171*G177^2/2-G171*(G177-F177)-D183)</f>
        <v>0</v>
      </c>
      <c r="H183" s="582">
        <f>D171*H177-F171*H177^2/2-G171*(H177-F177)-D183</f>
        <v>0</v>
      </c>
      <c r="I183" s="582">
        <f>IF(I177&lt;H177,0,D171*I177-F171*I177^2/2-G171*(I177-F177)-H171*(I177-H177)-D183)</f>
        <v>0</v>
      </c>
      <c r="J183" s="583">
        <f>D116</f>
        <v>35.8543425</v>
      </c>
      <c r="K183" s="604">
        <f>MAX(E183:I183,0.7*K180)</f>
        <v>0</v>
      </c>
      <c r="L183" s="607">
        <f>IF(K180=0,0,K183/K180)</f>
        <v>0</v>
      </c>
      <c r="M183" s="562"/>
      <c r="N183" s="562"/>
      <c r="O183" s="375"/>
    </row>
    <row r="184" spans="1:15" ht="15">
      <c r="A184" s="375"/>
      <c r="B184" s="566"/>
      <c r="C184" s="599" t="s">
        <v>217</v>
      </c>
      <c r="D184" s="584">
        <f>C117</f>
        <v>0</v>
      </c>
      <c r="E184" s="585">
        <f>IF(E178&gt;F178,0,D172*E178-F172*E178^2/2-D184)</f>
        <v>0</v>
      </c>
      <c r="F184" s="585">
        <f>D172*F178-F172*F178^2/2-D184</f>
        <v>0</v>
      </c>
      <c r="G184" s="585">
        <f>IF(F178&gt;G178,0,D172*G178-F172*G178^2/2-G172*(G178-F178)-D184)</f>
        <v>0</v>
      </c>
      <c r="H184" s="585">
        <f>D172*H178-F172*H178^2/2-G172*(H178-F178)-D184</f>
        <v>0</v>
      </c>
      <c r="I184" s="585">
        <f>IF(I178&lt;H178,0,D172*I178-F172*I178^2/2-G172*(I178-F178)-H172*(I178-H178)-D184)</f>
        <v>0</v>
      </c>
      <c r="J184" s="586">
        <f>D117</f>
        <v>16.4673875</v>
      </c>
      <c r="K184" s="608">
        <f>MAX(E184:I184,0.7*K181)</f>
        <v>0</v>
      </c>
      <c r="L184" s="609">
        <f>IF(K181=0,0,K184/K181)</f>
        <v>0</v>
      </c>
      <c r="M184" s="562"/>
      <c r="N184" s="562"/>
      <c r="O184" s="375"/>
    </row>
    <row r="185" spans="1:15" ht="12.75">
      <c r="A185" s="375"/>
      <c r="B185" s="562"/>
      <c r="C185" s="562"/>
      <c r="D185" s="562"/>
      <c r="E185" s="562"/>
      <c r="F185" s="562"/>
      <c r="G185" s="562"/>
      <c r="H185" s="562"/>
      <c r="I185" s="562"/>
      <c r="J185" s="562"/>
      <c r="K185" s="562"/>
      <c r="L185" s="562"/>
      <c r="M185" s="562"/>
      <c r="N185" s="562"/>
      <c r="O185" s="375"/>
    </row>
    <row r="186" spans="1:15" ht="15.75">
      <c r="A186" s="375"/>
      <c r="B186" s="730" t="s">
        <v>59</v>
      </c>
      <c r="C186" s="570"/>
      <c r="D186" s="591" t="s">
        <v>27</v>
      </c>
      <c r="E186" s="592" t="s">
        <v>213</v>
      </c>
      <c r="F186" s="592" t="s">
        <v>209</v>
      </c>
      <c r="G186" s="592" t="s">
        <v>213</v>
      </c>
      <c r="H186" s="592" t="s">
        <v>210</v>
      </c>
      <c r="I186" s="592" t="s">
        <v>213</v>
      </c>
      <c r="J186" s="593" t="s">
        <v>28</v>
      </c>
      <c r="K186" s="562"/>
      <c r="L186" s="562"/>
      <c r="M186" s="562"/>
      <c r="N186" s="562"/>
      <c r="O186" s="375"/>
    </row>
    <row r="187" spans="1:15" ht="15.75">
      <c r="A187" s="375"/>
      <c r="B187" s="566" t="s">
        <v>214</v>
      </c>
      <c r="C187" s="599" t="s">
        <v>215</v>
      </c>
      <c r="D187" s="578">
        <f>F134</f>
        <v>56.99138736442207</v>
      </c>
      <c r="E187" s="579"/>
      <c r="F187" s="579"/>
      <c r="G187" s="579"/>
      <c r="H187" s="579"/>
      <c r="I187" s="579"/>
      <c r="J187" s="580">
        <f>H134</f>
        <v>66.82226596891128</v>
      </c>
      <c r="K187" s="571"/>
      <c r="L187" s="571"/>
      <c r="M187" s="562"/>
      <c r="N187" s="562"/>
      <c r="O187" s="375"/>
    </row>
    <row r="188" spans="1:15" ht="15.75">
      <c r="A188" s="375"/>
      <c r="B188" s="566"/>
      <c r="C188" s="599" t="s">
        <v>216</v>
      </c>
      <c r="D188" s="581">
        <f>F135</f>
        <v>25.340275298975193</v>
      </c>
      <c r="E188" s="582"/>
      <c r="F188" s="582"/>
      <c r="G188" s="582"/>
      <c r="H188" s="582"/>
      <c r="I188" s="582"/>
      <c r="J188" s="583">
        <f>H135</f>
        <v>29.955191367691477</v>
      </c>
      <c r="K188" s="571"/>
      <c r="L188" s="571"/>
      <c r="M188" s="562"/>
      <c r="N188" s="562"/>
      <c r="O188" s="375"/>
    </row>
    <row r="189" spans="1:15" ht="15.75">
      <c r="A189" s="375"/>
      <c r="B189" s="566"/>
      <c r="C189" s="599" t="s">
        <v>217</v>
      </c>
      <c r="D189" s="581">
        <f>F136</f>
        <v>58.192543474335864</v>
      </c>
      <c r="E189" s="582"/>
      <c r="F189" s="600" t="s">
        <v>218</v>
      </c>
      <c r="G189" s="600"/>
      <c r="H189" s="600"/>
      <c r="I189" s="582"/>
      <c r="J189" s="583">
        <f>H136</f>
        <v>65.62110985899749</v>
      </c>
      <c r="K189" s="571"/>
      <c r="L189" s="571"/>
      <c r="M189" s="562"/>
      <c r="N189" s="562"/>
      <c r="O189" s="375"/>
    </row>
    <row r="190" spans="1:15" ht="15.75">
      <c r="A190" s="375"/>
      <c r="B190" s="566" t="s">
        <v>219</v>
      </c>
      <c r="C190" s="599" t="s">
        <v>215</v>
      </c>
      <c r="D190" s="581">
        <f>F150</f>
        <v>59.09004631333019</v>
      </c>
      <c r="E190" s="582"/>
      <c r="F190" s="82">
        <f>MAIN!I41*(MAIN!C32+MAIN!D32)+MAIN!I42*MAIN!E32</f>
        <v>15.759093333333334</v>
      </c>
      <c r="G190" s="83">
        <f aca="true" t="shared" si="9" ref="G190:H192">G123</f>
        <v>13.499999999999998</v>
      </c>
      <c r="H190" s="84">
        <f t="shared" si="9"/>
        <v>0</v>
      </c>
      <c r="I190" s="582"/>
      <c r="J190" s="583">
        <f>H150</f>
        <v>64.72360702000316</v>
      </c>
      <c r="K190" s="571"/>
      <c r="L190" s="571"/>
      <c r="M190" s="562"/>
      <c r="N190" s="562"/>
      <c r="O190" s="375"/>
    </row>
    <row r="191" spans="1:15" ht="15.75">
      <c r="A191" s="375"/>
      <c r="B191" s="566"/>
      <c r="C191" s="599" t="s">
        <v>216</v>
      </c>
      <c r="D191" s="581">
        <f>F151</f>
        <v>23.852456397392903</v>
      </c>
      <c r="E191" s="582"/>
      <c r="F191" s="85">
        <f>(MAIN!C32+MAIN!D32)*MAIN!H41</f>
        <v>6.685066666666668</v>
      </c>
      <c r="G191" s="86">
        <f t="shared" si="9"/>
        <v>8.5</v>
      </c>
      <c r="H191" s="87">
        <f t="shared" si="9"/>
        <v>0</v>
      </c>
      <c r="I191" s="582"/>
      <c r="J191" s="583">
        <f>H151</f>
        <v>31.443010269273767</v>
      </c>
      <c r="K191" s="571"/>
      <c r="L191" s="571"/>
      <c r="M191" s="562"/>
      <c r="N191" s="562"/>
      <c r="O191" s="375"/>
    </row>
    <row r="192" spans="1:15" ht="15.75">
      <c r="A192" s="375"/>
      <c r="B192" s="566"/>
      <c r="C192" s="599" t="s">
        <v>217</v>
      </c>
      <c r="D192" s="581">
        <f>F152</f>
        <v>56.68949269191481</v>
      </c>
      <c r="E192" s="582"/>
      <c r="F192" s="88">
        <f>F190</f>
        <v>15.759093333333334</v>
      </c>
      <c r="G192" s="89">
        <f t="shared" si="9"/>
        <v>13.499999999999998</v>
      </c>
      <c r="H192" s="90">
        <f t="shared" si="9"/>
        <v>0</v>
      </c>
      <c r="I192" s="582"/>
      <c r="J192" s="583">
        <f>H152</f>
        <v>67.12416064141854</v>
      </c>
      <c r="K192" s="571"/>
      <c r="L192" s="571"/>
      <c r="M192" s="562"/>
      <c r="N192" s="562"/>
      <c r="O192" s="375"/>
    </row>
    <row r="193" spans="1:15" ht="15.75">
      <c r="A193" s="375"/>
      <c r="B193" s="566" t="s">
        <v>220</v>
      </c>
      <c r="C193" s="599" t="s">
        <v>215</v>
      </c>
      <c r="D193" s="581"/>
      <c r="E193" s="582">
        <f>MAX(0,D187/F190)</f>
        <v>3.6164128328293463</v>
      </c>
      <c r="F193" s="582">
        <f>MAIN!F33</f>
        <v>1.45</v>
      </c>
      <c r="G193" s="582">
        <f>MIN((D187-G190)/F190,MAIN!C$19)</f>
        <v>2.7597645654163308</v>
      </c>
      <c r="H193" s="582">
        <f>MAIN!F34</f>
        <v>0</v>
      </c>
      <c r="I193" s="582">
        <f>MIN((D187-G190-H190)/F190,MAIN!C$19)</f>
        <v>2.7597645654163308</v>
      </c>
      <c r="J193" s="583"/>
      <c r="K193" s="571"/>
      <c r="L193" s="571"/>
      <c r="M193" s="562"/>
      <c r="N193" s="562"/>
      <c r="O193" s="375"/>
    </row>
    <row r="194" spans="1:15" ht="15.75">
      <c r="A194" s="375"/>
      <c r="B194" s="566"/>
      <c r="C194" s="599" t="s">
        <v>216</v>
      </c>
      <c r="D194" s="581"/>
      <c r="E194" s="582">
        <f>MAX(0,D188/F191)</f>
        <v>3.790579295989348</v>
      </c>
      <c r="F194" s="582">
        <f>F193</f>
        <v>1.45</v>
      </c>
      <c r="G194" s="582">
        <f>MIN((D188-G191)/F191,MAIN!C$19)</f>
        <v>2.5190886102819006</v>
      </c>
      <c r="H194" s="582">
        <f>H193</f>
        <v>0</v>
      </c>
      <c r="I194" s="582">
        <f>MIN((D188-G191-H191)/F191,MAIN!C$19)</f>
        <v>2.5190886102819006</v>
      </c>
      <c r="J194" s="583"/>
      <c r="K194" s="571"/>
      <c r="L194" s="571"/>
      <c r="M194" s="562"/>
      <c r="N194" s="562"/>
      <c r="O194" s="375"/>
    </row>
    <row r="195" spans="1:15" ht="15.75">
      <c r="A195" s="375"/>
      <c r="B195" s="566"/>
      <c r="C195" s="599" t="s">
        <v>217</v>
      </c>
      <c r="D195" s="581"/>
      <c r="E195" s="582">
        <f>MAX(0,D189/F192)</f>
        <v>3.6926327069367693</v>
      </c>
      <c r="F195" s="582">
        <f>F193</f>
        <v>1.45</v>
      </c>
      <c r="G195" s="582">
        <f>MIN((D189-G192)/F192,MAIN!C$19)</f>
        <v>2.835984439523754</v>
      </c>
      <c r="H195" s="582">
        <f>H193</f>
        <v>0</v>
      </c>
      <c r="I195" s="582">
        <f>MIN((D189-G192-H192)/F192,MAIN!C$19)</f>
        <v>2.835984439523754</v>
      </c>
      <c r="J195" s="583"/>
      <c r="K195" s="571"/>
      <c r="L195" s="571"/>
      <c r="M195" s="562"/>
      <c r="N195" s="562"/>
      <c r="O195" s="375"/>
    </row>
    <row r="196" spans="1:15" ht="15.75">
      <c r="A196" s="375"/>
      <c r="B196" s="566" t="s">
        <v>221</v>
      </c>
      <c r="C196" s="599" t="s">
        <v>215</v>
      </c>
      <c r="D196" s="581"/>
      <c r="E196" s="582">
        <f>MAX(0,D190/F190)</f>
        <v>3.7495841330125286</v>
      </c>
      <c r="F196" s="582">
        <f>F195</f>
        <v>1.45</v>
      </c>
      <c r="G196" s="582">
        <f>MIN((D190-G190)/F190,MAIN!C$19)</f>
        <v>2.8929358655995134</v>
      </c>
      <c r="H196" s="582">
        <f>H195</f>
        <v>0</v>
      </c>
      <c r="I196" s="582">
        <f>MIN((D190-G190-H190)/F190,MAIN!C$19)</f>
        <v>2.8929358655995134</v>
      </c>
      <c r="J196" s="583"/>
      <c r="K196" s="571"/>
      <c r="L196" s="571"/>
      <c r="M196" s="562"/>
      <c r="N196" s="562"/>
      <c r="O196" s="375"/>
    </row>
    <row r="197" spans="1:15" ht="15.75">
      <c r="A197" s="375"/>
      <c r="B197" s="566"/>
      <c r="C197" s="599" t="s">
        <v>216</v>
      </c>
      <c r="D197" s="581"/>
      <c r="E197" s="582">
        <f>MAX(0,D191/F191)</f>
        <v>3.5680207224150693</v>
      </c>
      <c r="F197" s="582">
        <f>F196</f>
        <v>1.45</v>
      </c>
      <c r="G197" s="582">
        <f>MIN((D191-G191)/F191,MAIN!C$19)</f>
        <v>2.296530036707622</v>
      </c>
      <c r="H197" s="582">
        <f>H196</f>
        <v>0</v>
      </c>
      <c r="I197" s="582">
        <f>MIN((D191-G191-H191)/F191,MAIN!C$19)</f>
        <v>2.296530036707622</v>
      </c>
      <c r="J197" s="583"/>
      <c r="K197" s="601" t="s">
        <v>222</v>
      </c>
      <c r="L197" s="602"/>
      <c r="M197" s="562"/>
      <c r="N197" s="562"/>
      <c r="O197" s="375"/>
    </row>
    <row r="198" spans="1:15" ht="15.75">
      <c r="A198" s="375"/>
      <c r="B198" s="566"/>
      <c r="C198" s="599" t="s">
        <v>217</v>
      </c>
      <c r="D198" s="581"/>
      <c r="E198" s="582">
        <f>MAX(0,D192/F192)</f>
        <v>3.5972559774112303</v>
      </c>
      <c r="F198" s="582">
        <f>F197</f>
        <v>1.45</v>
      </c>
      <c r="G198" s="582">
        <f>MIN((D192-G192)/F192,MAIN!C$19)</f>
        <v>2.740607709998215</v>
      </c>
      <c r="H198" s="582">
        <f>H197</f>
        <v>0</v>
      </c>
      <c r="I198" s="582">
        <f>MIN((D192-G192-H192)/F192,MAIN!C$19)</f>
        <v>2.740607709998215</v>
      </c>
      <c r="J198" s="583"/>
      <c r="K198" s="572" t="s">
        <v>223</v>
      </c>
      <c r="L198" s="603"/>
      <c r="M198" s="562"/>
      <c r="N198" s="562"/>
      <c r="O198" s="375"/>
    </row>
    <row r="199" spans="1:15" ht="15.75">
      <c r="A199" s="375"/>
      <c r="B199" s="566" t="s">
        <v>224</v>
      </c>
      <c r="C199" s="599" t="s">
        <v>215</v>
      </c>
      <c r="D199" s="581">
        <f aca="true" t="shared" si="10" ref="D199:D204">J179</f>
        <v>35.8543425</v>
      </c>
      <c r="E199" s="582">
        <f>IF(E193&gt;F193,0,D187*E193-F190*E193^2/2-D199)</f>
        <v>0</v>
      </c>
      <c r="F199" s="582">
        <f>D187*F193-F190*F193^2/2-D199</f>
        <v>30.216422311745333</v>
      </c>
      <c r="G199" s="582">
        <f>IF(F193&gt;G193,0,D187*G193-F190*G193^2/2-G190*(G193-F193)-D199)</f>
        <v>43.73365237456379</v>
      </c>
      <c r="H199" s="582">
        <f>D187*H193-F190*H193^2/2-G190*(H193-F193)-D199</f>
        <v>-16.279342500000006</v>
      </c>
      <c r="I199" s="582">
        <f>IF(I193&lt;H193,0,D187*I193-F190*I193^2/2-G190*(I193-F193)-H190*(I193-H193)-D199)</f>
        <v>43.73365237456379</v>
      </c>
      <c r="J199" s="583">
        <f>E106</f>
        <v>97.93741761571225</v>
      </c>
      <c r="K199" s="604">
        <f>MAX(E199:I199)</f>
        <v>43.73365237456379</v>
      </c>
      <c r="L199" s="605"/>
      <c r="M199" s="562"/>
      <c r="N199" s="562"/>
      <c r="O199" s="375"/>
    </row>
    <row r="200" spans="1:15" ht="15.75">
      <c r="A200" s="375"/>
      <c r="B200" s="566"/>
      <c r="C200" s="599" t="s">
        <v>216</v>
      </c>
      <c r="D200" s="581">
        <f t="shared" si="10"/>
        <v>35.8543425</v>
      </c>
      <c r="E200" s="582">
        <f>IF(E194&gt;F194,0,D188*E194-F191*E194^2/2-D200)</f>
        <v>0</v>
      </c>
      <c r="F200" s="582">
        <f>D188*F194-F191*F194^2/2-D200</f>
        <v>-6.138619649819308</v>
      </c>
      <c r="G200" s="582">
        <f>IF(F194&gt;G194,0,D188*G194-F191*G194^2/2-G191*(G194-F194)-D200)</f>
        <v>-2.318269650169988</v>
      </c>
      <c r="H200" s="582">
        <f>D188*H194-F191*H194^2/2-G191*(H194-F194)-D200</f>
        <v>-23.529342500000002</v>
      </c>
      <c r="I200" s="582">
        <f>IF(I194&lt;H194,0,D188*I194-F191*I194^2/2-G191*(I194-F194)-H191*(I194-H194)-D200)</f>
        <v>-2.318269650169988</v>
      </c>
      <c r="J200" s="583">
        <f>E107</f>
        <v>69.431548740507</v>
      </c>
      <c r="K200" s="604">
        <f>MAX(E200:I200)</f>
        <v>0</v>
      </c>
      <c r="L200" s="605"/>
      <c r="M200" s="562"/>
      <c r="N200" s="562"/>
      <c r="O200" s="375"/>
    </row>
    <row r="201" spans="1:15" ht="15">
      <c r="A201" s="375"/>
      <c r="B201" s="566"/>
      <c r="C201" s="599" t="s">
        <v>217</v>
      </c>
      <c r="D201" s="581">
        <f t="shared" si="10"/>
        <v>16.4673875</v>
      </c>
      <c r="E201" s="582">
        <f>IF(E195&gt;F195,0,D189*E195-F192*E195^2/2-D201)</f>
        <v>0</v>
      </c>
      <c r="F201" s="582">
        <f>D189*F195-F192*F195^2/2-D201</f>
        <v>51.345053671120326</v>
      </c>
      <c r="G201" s="582">
        <f>IF(F195&gt;G195,0,D189*G195-F192*G195^2/2-G192*(G195-F195)-D201)</f>
        <v>66.48129142797768</v>
      </c>
      <c r="H201" s="582">
        <f>D189*H195-F192*H195^2/2-G192*(H195-F195)-D201</f>
        <v>3.107612499999995</v>
      </c>
      <c r="I201" s="582">
        <f>IF(I195&lt;H195,0,D189*I195-F192*I195^2/2-G192*(I195-F195)-H192*(I195-H195)-D201)</f>
        <v>66.48129142797768</v>
      </c>
      <c r="J201" s="583">
        <f>E108</f>
        <v>70.14236984631569</v>
      </c>
      <c r="K201" s="604">
        <f>MAX(E201:I201)</f>
        <v>66.48129142797768</v>
      </c>
      <c r="L201" s="606" t="s">
        <v>106</v>
      </c>
      <c r="M201" s="562"/>
      <c r="N201" s="562"/>
      <c r="O201" s="375"/>
    </row>
    <row r="202" spans="1:15" ht="15">
      <c r="A202" s="375"/>
      <c r="B202" s="566" t="s">
        <v>225</v>
      </c>
      <c r="C202" s="599" t="s">
        <v>215</v>
      </c>
      <c r="D202" s="581">
        <f t="shared" si="10"/>
        <v>35.8543425</v>
      </c>
      <c r="E202" s="582">
        <f>IF(E196&gt;F196,0,D190*E196-F190*E196^2/2-D202)</f>
        <v>0</v>
      </c>
      <c r="F202" s="582">
        <f>D190*F196-F190*F196^2/2-D202</f>
        <v>33.25947778766209</v>
      </c>
      <c r="G202" s="582">
        <f>IF(F196&gt;G196,0,D190*G196-F190*G196^2/2-G190*(G196-F196)-D202)</f>
        <v>49.6651975470879</v>
      </c>
      <c r="H202" s="582">
        <f>D190*H196-F190*H196^2/2-G190*(H196-F196)-D202</f>
        <v>-16.279342500000006</v>
      </c>
      <c r="I202" s="582">
        <f>IF(I196&lt;H196,0,D190*I196-F190*I196^2/2-G190*(I196-F196)-H190*(I196-H196)-D202)</f>
        <v>49.6651975470879</v>
      </c>
      <c r="J202" s="583">
        <f>E115</f>
        <v>83.24680497335541</v>
      </c>
      <c r="K202" s="604">
        <f>MAX(E202:I202,0.7*K199)</f>
        <v>49.6651975470879</v>
      </c>
      <c r="L202" s="607">
        <f>IF(K199=0,0,K202/K199)</f>
        <v>1.1356288544510862</v>
      </c>
      <c r="M202" s="562"/>
      <c r="N202" s="562"/>
      <c r="O202" s="375"/>
    </row>
    <row r="203" spans="1:15" ht="15">
      <c r="A203" s="375"/>
      <c r="B203" s="566"/>
      <c r="C203" s="599" t="s">
        <v>216</v>
      </c>
      <c r="D203" s="581">
        <f t="shared" si="10"/>
        <v>35.8543425</v>
      </c>
      <c r="E203" s="582">
        <f>IF(E197&gt;F197,0,D191*E197-F191*E197^2/2-D203)</f>
        <v>0</v>
      </c>
      <c r="F203" s="582">
        <f>D191*F197-F191*F197^2/2-D203</f>
        <v>-8.295957057113629</v>
      </c>
      <c r="G203" s="582">
        <f>IF(F197&gt;G197,0,D191*G197-F191*G197^2/2-G191*(G197-F197)-D203)</f>
        <v>-5.900653873071562</v>
      </c>
      <c r="H203" s="582">
        <f>D191*H197-F191*H197^2/2-G191*(H197-F197)-D203</f>
        <v>-23.529342500000002</v>
      </c>
      <c r="I203" s="582">
        <f>IF(I197&lt;H197,0,D191*I197-F191*I197^2/2-G191*(I197-F197)-H191*(I197-H197)-D203)</f>
        <v>-5.900653873071562</v>
      </c>
      <c r="J203" s="583">
        <f>E116</f>
        <v>79.84628105158303</v>
      </c>
      <c r="K203" s="604">
        <f>MAX(E203:I203,0.7*K200)</f>
        <v>0</v>
      </c>
      <c r="L203" s="607">
        <f>IF(K200=0,0,K203/K200)</f>
        <v>0</v>
      </c>
      <c r="M203" s="562"/>
      <c r="N203" s="562"/>
      <c r="O203" s="375"/>
    </row>
    <row r="204" spans="1:15" ht="15">
      <c r="A204" s="375"/>
      <c r="B204" s="566"/>
      <c r="C204" s="599" t="s">
        <v>217</v>
      </c>
      <c r="D204" s="584">
        <f t="shared" si="10"/>
        <v>16.4673875</v>
      </c>
      <c r="E204" s="585">
        <f>IF(E198&gt;F198,0,D192*E198-F192*E198^2/2-D204)</f>
        <v>0</v>
      </c>
      <c r="F204" s="585">
        <f>D192*F198-F192*F198^2/2-D204</f>
        <v>49.1656300366098</v>
      </c>
      <c r="G204" s="585">
        <f>IF(F198&gt;G198,0,D192*G198-F192*G198^2/2-G192*(G198-F198)-D204)</f>
        <v>62.290340831186654</v>
      </c>
      <c r="H204" s="585">
        <f>D192*H198-F192*H198^2/2-G192*(H198-F198)-D204</f>
        <v>3.107612499999995</v>
      </c>
      <c r="I204" s="585">
        <f>IF(I198&lt;H198,0,D192*I198-F192*I198^2/2-G192*(I198-F198)-H192*(I198-H198)-D204)</f>
        <v>62.290340831186654</v>
      </c>
      <c r="J204" s="586">
        <f>E117</f>
        <v>80.66372532326304</v>
      </c>
      <c r="K204" s="608">
        <f>MAX(E204:I204,0.7*K201)</f>
        <v>62.290340831186654</v>
      </c>
      <c r="L204" s="609">
        <f>IF(K201=0,0,K204/K201)</f>
        <v>0.9369604514778225</v>
      </c>
      <c r="M204" s="562"/>
      <c r="N204" s="562"/>
      <c r="O204" s="375"/>
    </row>
    <row r="205" spans="1:15" ht="13.5" thickBot="1">
      <c r="A205" s="375"/>
      <c r="B205" s="562"/>
      <c r="C205" s="562"/>
      <c r="D205" s="562"/>
      <c r="E205" s="562"/>
      <c r="F205" s="562"/>
      <c r="G205" s="562"/>
      <c r="H205" s="562"/>
      <c r="I205" s="562"/>
      <c r="J205" s="562"/>
      <c r="K205" s="562"/>
      <c r="L205" s="562"/>
      <c r="M205" s="562"/>
      <c r="N205" s="562"/>
      <c r="O205" s="375"/>
    </row>
    <row r="206" spans="1:15" ht="18">
      <c r="A206" s="375"/>
      <c r="B206" s="539" t="str">
        <f>B$2</f>
        <v> Project</v>
      </c>
      <c r="C206" s="540" t="str">
        <f>C$2</f>
        <v>Spreadsheets to BS 8110</v>
      </c>
      <c r="D206" s="542"/>
      <c r="E206" s="542"/>
      <c r="F206" s="542"/>
      <c r="G206" s="618"/>
      <c r="H206" s="618"/>
      <c r="I206" s="618"/>
      <c r="J206" s="618"/>
      <c r="K206" s="542"/>
      <c r="L206" s="542"/>
      <c r="M206" s="542"/>
      <c r="N206" s="619"/>
      <c r="O206" s="375"/>
    </row>
    <row r="207" spans="1:15" ht="18">
      <c r="A207" s="375"/>
      <c r="B207" s="543" t="str">
        <f>B$3</f>
        <v> Location</v>
      </c>
      <c r="C207" s="544" t="str">
        <f>C$3</f>
        <v>3rd Floor slab,  from 1 to 5a</v>
      </c>
      <c r="D207" s="545"/>
      <c r="E207" s="545"/>
      <c r="F207" s="545"/>
      <c r="G207" s="595"/>
      <c r="H207" s="595"/>
      <c r="I207" s="729" t="s">
        <v>404</v>
      </c>
      <c r="J207" s="595"/>
      <c r="K207" s="595"/>
      <c r="L207" s="545"/>
      <c r="M207" s="545"/>
      <c r="N207" s="620"/>
      <c r="O207" s="375"/>
    </row>
    <row r="208" spans="1:15" ht="12.75">
      <c r="A208" s="375"/>
      <c r="B208" s="546"/>
      <c r="C208" s="547" t="str">
        <f>C$4</f>
        <v>RIBBED SLABS to BS 8110:1997 (Analysis &amp; Design)</v>
      </c>
      <c r="D208" s="545"/>
      <c r="E208" s="545"/>
      <c r="F208" s="545"/>
      <c r="G208" s="595"/>
      <c r="H208" s="595"/>
      <c r="I208" s="595"/>
      <c r="J208" s="595"/>
      <c r="K208" s="545"/>
      <c r="L208" s="595"/>
      <c r="M208" s="548" t="str">
        <f>M$4</f>
        <v>Made by  rmw    Job No  R68</v>
      </c>
      <c r="N208" s="620"/>
      <c r="O208" s="375"/>
    </row>
    <row r="209" spans="1:15" ht="13.5" thickBot="1">
      <c r="A209" s="375"/>
      <c r="B209" s="549"/>
      <c r="C209" s="550" t="str">
        <f>C$5</f>
        <v>Originated from  RCC32.xls v2.2 on CD               © 2000-2003 BCA for RCC</v>
      </c>
      <c r="D209" s="552"/>
      <c r="E209" s="552"/>
      <c r="F209" s="552"/>
      <c r="G209" s="621"/>
      <c r="H209" s="621"/>
      <c r="I209" s="621"/>
      <c r="J209" s="621"/>
      <c r="K209" s="552"/>
      <c r="L209" s="553" t="str">
        <f>L$5</f>
        <v> Date</v>
      </c>
      <c r="M209" s="826">
        <f>M$5</f>
        <v>39305</v>
      </c>
      <c r="N209" s="827"/>
      <c r="O209" s="375"/>
    </row>
    <row r="210" spans="1:15" ht="12.75">
      <c r="A210" s="375"/>
      <c r="B210" s="545"/>
      <c r="C210" s="554"/>
      <c r="D210" s="545"/>
      <c r="E210" s="545"/>
      <c r="F210" s="545"/>
      <c r="G210" s="595"/>
      <c r="H210" s="595"/>
      <c r="I210" s="595"/>
      <c r="J210" s="595"/>
      <c r="K210" s="545"/>
      <c r="L210" s="548"/>
      <c r="M210" s="555"/>
      <c r="N210" s="555"/>
      <c r="O210" s="375"/>
    </row>
    <row r="211" spans="1:15" ht="12.75">
      <c r="A211" s="375"/>
      <c r="B211" s="562"/>
      <c r="C211" s="562"/>
      <c r="D211" s="562"/>
      <c r="E211" s="562"/>
      <c r="F211" s="562"/>
      <c r="G211" s="562"/>
      <c r="H211" s="562"/>
      <c r="I211" s="562"/>
      <c r="J211" s="562"/>
      <c r="K211" s="562"/>
      <c r="L211" s="562"/>
      <c r="M211" s="562"/>
      <c r="N211" s="562"/>
      <c r="O211" s="375"/>
    </row>
    <row r="212" spans="1:15" ht="15.75">
      <c r="A212" s="375"/>
      <c r="B212" s="730" t="s">
        <v>61</v>
      </c>
      <c r="C212" s="570"/>
      <c r="D212" s="591" t="s">
        <v>27</v>
      </c>
      <c r="E212" s="592" t="s">
        <v>213</v>
      </c>
      <c r="F212" s="592" t="s">
        <v>209</v>
      </c>
      <c r="G212" s="592" t="s">
        <v>213</v>
      </c>
      <c r="H212" s="592" t="s">
        <v>210</v>
      </c>
      <c r="I212" s="592" t="s">
        <v>213</v>
      </c>
      <c r="J212" s="593" t="s">
        <v>28</v>
      </c>
      <c r="K212" s="562"/>
      <c r="L212" s="562"/>
      <c r="M212" s="562"/>
      <c r="N212" s="562"/>
      <c r="O212" s="375"/>
    </row>
    <row r="213" spans="1:15" ht="15.75">
      <c r="A213" s="375"/>
      <c r="B213" s="566" t="s">
        <v>214</v>
      </c>
      <c r="C213" s="599" t="s">
        <v>215</v>
      </c>
      <c r="D213" s="578">
        <f>I134</f>
        <v>70.25575332098386</v>
      </c>
      <c r="E213" s="579"/>
      <c r="F213" s="579"/>
      <c r="G213" s="579"/>
      <c r="H213" s="579"/>
      <c r="I213" s="579"/>
      <c r="J213" s="580">
        <f>K134</f>
        <v>44.13910862346059</v>
      </c>
      <c r="K213" s="571"/>
      <c r="L213" s="571"/>
      <c r="M213" s="562"/>
      <c r="N213" s="562"/>
      <c r="O213" s="375"/>
    </row>
    <row r="214" spans="1:15" ht="15.75">
      <c r="A214" s="375"/>
      <c r="B214" s="566"/>
      <c r="C214" s="599" t="s">
        <v>216</v>
      </c>
      <c r="D214" s="581">
        <f>I135</f>
        <v>66.45497080428981</v>
      </c>
      <c r="E214" s="582"/>
      <c r="F214" s="582"/>
      <c r="G214" s="582"/>
      <c r="H214" s="582"/>
      <c r="I214" s="582"/>
      <c r="J214" s="583">
        <f>K135</f>
        <v>47.93989114015462</v>
      </c>
      <c r="K214" s="571"/>
      <c r="L214" s="571"/>
      <c r="M214" s="562"/>
      <c r="N214" s="562"/>
      <c r="O214" s="375"/>
    </row>
    <row r="215" spans="1:15" ht="15.75">
      <c r="A215" s="375"/>
      <c r="B215" s="566"/>
      <c r="C215" s="599" t="s">
        <v>217</v>
      </c>
      <c r="D215" s="581">
        <f>I136</f>
        <v>33.0647666739532</v>
      </c>
      <c r="E215" s="582"/>
      <c r="F215" s="600" t="s">
        <v>218</v>
      </c>
      <c r="G215" s="600"/>
      <c r="H215" s="600"/>
      <c r="I215" s="582"/>
      <c r="J215" s="583">
        <f>K136</f>
        <v>14.360134714935688</v>
      </c>
      <c r="K215" s="571"/>
      <c r="L215" s="571"/>
      <c r="M215" s="562"/>
      <c r="N215" s="562"/>
      <c r="O215" s="375"/>
    </row>
    <row r="216" spans="1:15" ht="15.75">
      <c r="A216" s="375"/>
      <c r="B216" s="566" t="s">
        <v>219</v>
      </c>
      <c r="C216" s="599" t="s">
        <v>215</v>
      </c>
      <c r="D216" s="581">
        <f>I150</f>
        <v>68.29700496866961</v>
      </c>
      <c r="E216" s="582"/>
      <c r="F216" s="82">
        <f>MAIN!I41*(MAIN!C36+MAIN!D36)+MAIN!I42*MAIN!E36</f>
        <v>15.252648259259258</v>
      </c>
      <c r="G216" s="83">
        <f aca="true" t="shared" si="11" ref="G216:H218">J123</f>
        <v>0</v>
      </c>
      <c r="H216" s="84">
        <f t="shared" si="11"/>
        <v>0</v>
      </c>
      <c r="I216" s="582"/>
      <c r="J216" s="583">
        <f>K150</f>
        <v>46.09785697577483</v>
      </c>
      <c r="K216" s="571"/>
      <c r="L216" s="571"/>
      <c r="M216" s="562"/>
      <c r="N216" s="562"/>
      <c r="O216" s="375"/>
    </row>
    <row r="217" spans="1:15" ht="15.75">
      <c r="A217" s="375"/>
      <c r="B217" s="566"/>
      <c r="C217" s="599" t="s">
        <v>216</v>
      </c>
      <c r="D217" s="581">
        <f>I151</f>
        <v>67.84360177909997</v>
      </c>
      <c r="E217" s="582"/>
      <c r="F217" s="85">
        <f>F216</f>
        <v>15.252648259259258</v>
      </c>
      <c r="G217" s="86">
        <f t="shared" si="11"/>
        <v>0</v>
      </c>
      <c r="H217" s="87">
        <f t="shared" si="11"/>
        <v>0</v>
      </c>
      <c r="I217" s="582"/>
      <c r="J217" s="583">
        <f>K151</f>
        <v>46.55126016534448</v>
      </c>
      <c r="K217" s="571"/>
      <c r="L217" s="571"/>
      <c r="M217" s="562"/>
      <c r="N217" s="562"/>
      <c r="O217" s="375"/>
    </row>
    <row r="218" spans="1:15" ht="15.75">
      <c r="A218" s="375"/>
      <c r="B218" s="566"/>
      <c r="C218" s="599" t="s">
        <v>217</v>
      </c>
      <c r="D218" s="581">
        <f>I152</f>
        <v>34.46761407087952</v>
      </c>
      <c r="E218" s="582"/>
      <c r="F218" s="88">
        <f>(MAIN!C36+MAIN!D36)*MAIN!H41</f>
        <v>6.323320185185185</v>
      </c>
      <c r="G218" s="89">
        <f t="shared" si="11"/>
        <v>0</v>
      </c>
      <c r="H218" s="90">
        <f t="shared" si="11"/>
        <v>0</v>
      </c>
      <c r="I218" s="582"/>
      <c r="J218" s="583">
        <f>K152</f>
        <v>12.957287318009374</v>
      </c>
      <c r="K218" s="571"/>
      <c r="L218" s="571"/>
      <c r="M218" s="562"/>
      <c r="N218" s="562"/>
      <c r="O218" s="375"/>
    </row>
    <row r="219" spans="1:15" ht="15.75">
      <c r="A219" s="375"/>
      <c r="B219" s="566" t="s">
        <v>220</v>
      </c>
      <c r="C219" s="599" t="s">
        <v>215</v>
      </c>
      <c r="D219" s="581"/>
      <c r="E219" s="582">
        <f>MAX(0,D213/F216)</f>
        <v>4.606134759472636</v>
      </c>
      <c r="F219" s="582">
        <f>MAIN!F37</f>
        <v>0</v>
      </c>
      <c r="G219" s="582">
        <f>MIN((D213-G216)/F216,MAIN!C$20)</f>
        <v>4.606134759472636</v>
      </c>
      <c r="H219" s="582">
        <f>MAIN!F38</f>
        <v>0</v>
      </c>
      <c r="I219" s="582">
        <f>MIN((D213-G216-H216)/F216,MAIN!C$20)</f>
        <v>4.606134759472636</v>
      </c>
      <c r="J219" s="583"/>
      <c r="K219" s="571"/>
      <c r="L219" s="571"/>
      <c r="M219" s="562"/>
      <c r="N219" s="562"/>
      <c r="O219" s="375"/>
    </row>
    <row r="220" spans="1:15" ht="15.75">
      <c r="A220" s="375"/>
      <c r="B220" s="566"/>
      <c r="C220" s="599" t="s">
        <v>216</v>
      </c>
      <c r="D220" s="581"/>
      <c r="E220" s="582">
        <f>MAX(0,D214/F217)</f>
        <v>4.356946392174731</v>
      </c>
      <c r="F220" s="582">
        <f>F219</f>
        <v>0</v>
      </c>
      <c r="G220" s="582">
        <f>MIN((D214-G217)/F217,MAIN!C$20)</f>
        <v>4.356946392174731</v>
      </c>
      <c r="H220" s="582">
        <f>H219</f>
        <v>0</v>
      </c>
      <c r="I220" s="582">
        <f>MIN((D214-G217-H217)/F217,MAIN!C$20)</f>
        <v>4.356946392174731</v>
      </c>
      <c r="J220" s="583"/>
      <c r="K220" s="571"/>
      <c r="L220" s="571"/>
      <c r="M220" s="562"/>
      <c r="N220" s="562"/>
      <c r="O220" s="375"/>
    </row>
    <row r="221" spans="1:15" ht="15.75">
      <c r="A221" s="375"/>
      <c r="B221" s="566"/>
      <c r="C221" s="599" t="s">
        <v>217</v>
      </c>
      <c r="D221" s="581"/>
      <c r="E221" s="582">
        <f>MAX(0,D215/F218)</f>
        <v>5.229019835405483</v>
      </c>
      <c r="F221" s="582">
        <f>F219</f>
        <v>0</v>
      </c>
      <c r="G221" s="582">
        <f>MIN((D215-G218)/F218,MAIN!C$20)</f>
        <v>5.229019835405483</v>
      </c>
      <c r="H221" s="582">
        <f>H219</f>
        <v>0</v>
      </c>
      <c r="I221" s="582">
        <f>MIN((D215-G218-H218)/F218,MAIN!C$20)</f>
        <v>5.229019835405483</v>
      </c>
      <c r="J221" s="583"/>
      <c r="K221" s="571"/>
      <c r="L221" s="571"/>
      <c r="M221" s="562"/>
      <c r="N221" s="562"/>
      <c r="O221" s="375"/>
    </row>
    <row r="222" spans="1:15" ht="15.75">
      <c r="A222" s="375"/>
      <c r="B222" s="566" t="s">
        <v>221</v>
      </c>
      <c r="C222" s="599" t="s">
        <v>215</v>
      </c>
      <c r="D222" s="581"/>
      <c r="E222" s="582">
        <f>MAX(0,D216/F216)</f>
        <v>4.47771454555174</v>
      </c>
      <c r="F222" s="582">
        <f>F221</f>
        <v>0</v>
      </c>
      <c r="G222" s="582">
        <f>MIN((D216-G216)/F216,MAIN!C$20)</f>
        <v>4.47771454555174</v>
      </c>
      <c r="H222" s="582">
        <f>H221</f>
        <v>0</v>
      </c>
      <c r="I222" s="582">
        <f>MIN((D216-G216-H216)/F216,MAIN!C$20)</f>
        <v>4.47771454555174</v>
      </c>
      <c r="J222" s="583"/>
      <c r="K222" s="571"/>
      <c r="L222" s="571"/>
      <c r="M222" s="562"/>
      <c r="N222" s="562"/>
      <c r="O222" s="375"/>
    </row>
    <row r="223" spans="1:15" ht="15.75">
      <c r="A223" s="375"/>
      <c r="B223" s="566"/>
      <c r="C223" s="599" t="s">
        <v>216</v>
      </c>
      <c r="D223" s="581"/>
      <c r="E223" s="582">
        <f>MAX(0,D217/F217)</f>
        <v>4.447988351000942</v>
      </c>
      <c r="F223" s="582">
        <f>F222</f>
        <v>0</v>
      </c>
      <c r="G223" s="582">
        <f>MIN((D217-G217)/F217,MAIN!C$20)</f>
        <v>4.447988351000942</v>
      </c>
      <c r="H223" s="582">
        <f>H222</f>
        <v>0</v>
      </c>
      <c r="I223" s="582">
        <f>MIN((D217-G217-H217)/F217,MAIN!C$20)</f>
        <v>4.447988351000942</v>
      </c>
      <c r="J223" s="583"/>
      <c r="K223" s="601" t="s">
        <v>222</v>
      </c>
      <c r="L223" s="602"/>
      <c r="M223" s="562"/>
      <c r="N223" s="562"/>
      <c r="O223" s="375"/>
    </row>
    <row r="224" spans="1:15" ht="15.75">
      <c r="A224" s="375"/>
      <c r="B224" s="566"/>
      <c r="C224" s="599" t="s">
        <v>217</v>
      </c>
      <c r="D224" s="581"/>
      <c r="E224" s="582">
        <f>MAX(0,D218/F218)</f>
        <v>5.450872810716305</v>
      </c>
      <c r="F224" s="582">
        <f>F223</f>
        <v>0</v>
      </c>
      <c r="G224" s="582">
        <f>MIN((D218-G218)/F218,MAIN!C$20)</f>
        <v>5.450872810716305</v>
      </c>
      <c r="H224" s="582">
        <f>H223</f>
        <v>0</v>
      </c>
      <c r="I224" s="582">
        <f>MIN((D218-G218-H218)/F218,MAIN!C$20)</f>
        <v>5.450872810716305</v>
      </c>
      <c r="J224" s="583"/>
      <c r="K224" s="572" t="s">
        <v>223</v>
      </c>
      <c r="L224" s="603"/>
      <c r="M224" s="562"/>
      <c r="N224" s="562"/>
      <c r="O224" s="375"/>
    </row>
    <row r="225" spans="1:15" ht="15.75">
      <c r="A225" s="375"/>
      <c r="B225" s="566" t="s">
        <v>224</v>
      </c>
      <c r="C225" s="599" t="s">
        <v>215</v>
      </c>
      <c r="D225" s="581">
        <f aca="true" t="shared" si="12" ref="D225:D230">J199</f>
        <v>97.93741761571225</v>
      </c>
      <c r="E225" s="582">
        <f>IF(E219&gt;F219,0,D213*E219-F216*E219^2/2-D225)</f>
        <v>0</v>
      </c>
      <c r="F225" s="582">
        <f>D213*F219-F216*F219^2/2-D225</f>
        <v>-97.93741761571225</v>
      </c>
      <c r="G225" s="582">
        <f>IF(F219&gt;G219,0,D213*G219-F216*G219^2/2-G216*(G219-F219)-D225)</f>
        <v>63.86631609664717</v>
      </c>
      <c r="H225" s="582">
        <f>D213*H219-F216*H219^2/2-G216*(H219-F219)-D225</f>
        <v>-97.93741761571225</v>
      </c>
      <c r="I225" s="582">
        <f>IF(I219&lt;H219,0,D213*I219-F216*I219^2/2-G216*(I219-F219)-H216*(I219-H219)-D225)</f>
        <v>63.86631609664717</v>
      </c>
      <c r="J225" s="583">
        <f>F106</f>
        <v>0</v>
      </c>
      <c r="K225" s="604">
        <f>MAX(E225:I225)</f>
        <v>63.86631609664717</v>
      </c>
      <c r="L225" s="605"/>
      <c r="M225" s="562"/>
      <c r="N225" s="562"/>
      <c r="O225" s="375"/>
    </row>
    <row r="226" spans="1:15" ht="15.75">
      <c r="A226" s="375"/>
      <c r="B226" s="566"/>
      <c r="C226" s="599" t="s">
        <v>216</v>
      </c>
      <c r="D226" s="581">
        <f t="shared" si="12"/>
        <v>69.431548740507</v>
      </c>
      <c r="E226" s="582">
        <f>IF(E220&gt;F220,0,D214*E220-F217*E220^2/2-D226)</f>
        <v>0</v>
      </c>
      <c r="F226" s="582">
        <f>D214*F220-F217*F220^2/2-D226</f>
        <v>-69.431548740507</v>
      </c>
      <c r="G226" s="582">
        <f>IF(F220&gt;G220,0,D214*G220-F217*G220^2/2-G217*(G220-F220)-D226)</f>
        <v>75.33882390340682</v>
      </c>
      <c r="H226" s="582">
        <f>D214*H220-F217*H220^2/2-G217*(H220-F220)-D226</f>
        <v>-69.431548740507</v>
      </c>
      <c r="I226" s="582">
        <f>IF(I220&lt;H220,0,D214*I220-F217*I220^2/2-G217*(I220-F220)-H217*(I220-H220)-D226)</f>
        <v>75.33882390340682</v>
      </c>
      <c r="J226" s="583">
        <f>F107</f>
        <v>0</v>
      </c>
      <c r="K226" s="604">
        <f>MAX(E226:I226)</f>
        <v>75.33882390340682</v>
      </c>
      <c r="L226" s="605"/>
      <c r="M226" s="562"/>
      <c r="N226" s="562"/>
      <c r="O226" s="375"/>
    </row>
    <row r="227" spans="1:15" ht="15">
      <c r="A227" s="375"/>
      <c r="B227" s="566"/>
      <c r="C227" s="599" t="s">
        <v>217</v>
      </c>
      <c r="D227" s="581">
        <f t="shared" si="12"/>
        <v>70.14236984631569</v>
      </c>
      <c r="E227" s="582">
        <f>IF(E221&gt;F221,0,D215*E221-F218*E221^2/2-D227)</f>
        <v>0</v>
      </c>
      <c r="F227" s="582">
        <f>D215*F221-F218*F221^2/2-D227</f>
        <v>-70.14236984631569</v>
      </c>
      <c r="G227" s="582">
        <f>IF(F221&gt;G221,0,D215*G221-F218*G221^2/2-G218*(G221-F221)-D227)</f>
        <v>16.305790549262028</v>
      </c>
      <c r="H227" s="582">
        <f>D215*H221-F218*H221^2/2-G218*(H221-F221)-D227</f>
        <v>-70.14236984631569</v>
      </c>
      <c r="I227" s="582">
        <f>IF(I221&lt;H221,0,D215*I221-F218*I221^2/2-G218*(I221-F221)-H218*(I221-H221)-D227)</f>
        <v>16.305790549262028</v>
      </c>
      <c r="J227" s="583">
        <f>F108</f>
        <v>0</v>
      </c>
      <c r="K227" s="604">
        <f>MAX(E227:I227)</f>
        <v>16.305790549262028</v>
      </c>
      <c r="L227" s="606" t="s">
        <v>106</v>
      </c>
      <c r="M227" s="562"/>
      <c r="N227" s="562"/>
      <c r="O227" s="375"/>
    </row>
    <row r="228" spans="1:15" ht="15">
      <c r="A228" s="375"/>
      <c r="B228" s="566" t="s">
        <v>225</v>
      </c>
      <c r="C228" s="599" t="s">
        <v>215</v>
      </c>
      <c r="D228" s="581">
        <f t="shared" si="12"/>
        <v>83.24680497335541</v>
      </c>
      <c r="E228" s="582">
        <f>IF(E222&gt;F222,0,D216*E222-F216*E222^2/2-D228)</f>
        <v>0</v>
      </c>
      <c r="F228" s="582">
        <f>D216*F222-F216*F222^2/2-D228</f>
        <v>-83.24680497335541</v>
      </c>
      <c r="G228" s="582">
        <f>IF(F222&gt;G222,0,D216*G222-F216*G222^2/2-G216*(G222-F222)-D228)</f>
        <v>69.6604413095603</v>
      </c>
      <c r="H228" s="582">
        <f>D216*H222-F216*H222^2/2-G216*(H222-F222)-D228</f>
        <v>-83.24680497335541</v>
      </c>
      <c r="I228" s="582">
        <f>IF(I222&lt;H222,0,D216*I222-F216*I222^2/2-G216*(I222-F222)-H216*(I222-H222)-D228)</f>
        <v>69.6604413095603</v>
      </c>
      <c r="J228" s="583">
        <f>F115</f>
        <v>0</v>
      </c>
      <c r="K228" s="604">
        <f>MAX(E228:I228,0.7*K225)</f>
        <v>69.6604413095603</v>
      </c>
      <c r="L228" s="607">
        <f>IF(K225=0,0,K228/K225)</f>
        <v>1.09072270904345</v>
      </c>
      <c r="M228" s="562"/>
      <c r="N228" s="562"/>
      <c r="O228" s="375"/>
    </row>
    <row r="229" spans="1:15" ht="15">
      <c r="A229" s="375"/>
      <c r="B229" s="566"/>
      <c r="C229" s="599" t="s">
        <v>216</v>
      </c>
      <c r="D229" s="581">
        <f t="shared" si="12"/>
        <v>79.84628105158303</v>
      </c>
      <c r="E229" s="582">
        <f>IF(E223&gt;F223,0,D217*E223-F217*E223^2/2-D229)</f>
        <v>0</v>
      </c>
      <c r="F229" s="582">
        <f>D217*F223-F217*F223^2/2-D229</f>
        <v>-79.84628105158303</v>
      </c>
      <c r="G229" s="582">
        <f>IF(F223&gt;G223,0,D217*G223-F217*G223^2/2-G217*(G223-F223)-D229)</f>
        <v>71.03749415010869</v>
      </c>
      <c r="H229" s="582">
        <f>D217*H223-F217*H223^2/2-G217*(H223-F223)-D229</f>
        <v>-79.84628105158303</v>
      </c>
      <c r="I229" s="582">
        <f>IF(I223&lt;H223,0,D217*I223-F217*I223^2/2-G217*(I223-F223)-H217*(I223-H223)-D229)</f>
        <v>71.03749415010869</v>
      </c>
      <c r="J229" s="583">
        <f>F116</f>
        <v>0</v>
      </c>
      <c r="K229" s="604">
        <f>MAX(E229:I229,0.7*K226)</f>
        <v>71.03749415010869</v>
      </c>
      <c r="L229" s="607">
        <f>IF(K226=0,0,K229/K226)</f>
        <v>0.9429068635473665</v>
      </c>
      <c r="M229" s="562"/>
      <c r="N229" s="562"/>
      <c r="O229" s="375"/>
    </row>
    <row r="230" spans="1:15" ht="15">
      <c r="A230" s="375"/>
      <c r="B230" s="566"/>
      <c r="C230" s="599" t="s">
        <v>217</v>
      </c>
      <c r="D230" s="584">
        <f t="shared" si="12"/>
        <v>80.66372532326304</v>
      </c>
      <c r="E230" s="585">
        <f>IF(E224&gt;F224,0,D218*E224-F218*E224^2/2-D230)</f>
        <v>0</v>
      </c>
      <c r="F230" s="585">
        <f>D218*F224-F218*F224^2/2-D230</f>
        <v>-80.66372532326304</v>
      </c>
      <c r="G230" s="585">
        <f>IF(F224&gt;G224,0,D218*G224-F218*G224^2/2-G218*(G224-F224)-D230)</f>
        <v>13.275564871346916</v>
      </c>
      <c r="H230" s="585">
        <f>D218*H224-F218*H224^2/2-G218*(H224-F224)-D230</f>
        <v>-80.66372532326304</v>
      </c>
      <c r="I230" s="585">
        <f>IF(I224&lt;H224,0,D218*I224-F218*I224^2/2-G218*(I224-F224)-H218*(I224-H224)-D230)</f>
        <v>13.275564871346916</v>
      </c>
      <c r="J230" s="586">
        <f>F117</f>
        <v>0</v>
      </c>
      <c r="K230" s="608">
        <f>MAX(E230:I230,0.7*K227)</f>
        <v>13.275564871346916</v>
      </c>
      <c r="L230" s="609">
        <f>IF(K227=0,0,K230/K227)</f>
        <v>0.8141626026189662</v>
      </c>
      <c r="M230" s="562"/>
      <c r="N230" s="562"/>
      <c r="O230" s="375"/>
    </row>
    <row r="231" spans="1:15" ht="12.75">
      <c r="A231" s="375"/>
      <c r="B231" s="562"/>
      <c r="C231" s="562"/>
      <c r="D231" s="562"/>
      <c r="E231" s="562"/>
      <c r="F231" s="562"/>
      <c r="G231" s="562"/>
      <c r="H231" s="562"/>
      <c r="I231" s="562"/>
      <c r="J231" s="562"/>
      <c r="K231" s="562"/>
      <c r="L231" s="562"/>
      <c r="M231" s="562"/>
      <c r="N231" s="562"/>
      <c r="O231" s="375"/>
    </row>
    <row r="232" spans="1:15" ht="15.75">
      <c r="A232" s="375"/>
      <c r="B232" s="730" t="s">
        <v>51</v>
      </c>
      <c r="C232" s="570"/>
      <c r="D232" s="591" t="s">
        <v>27</v>
      </c>
      <c r="E232" s="592" t="s">
        <v>213</v>
      </c>
      <c r="F232" s="592" t="s">
        <v>209</v>
      </c>
      <c r="G232" s="592" t="s">
        <v>213</v>
      </c>
      <c r="H232" s="592" t="s">
        <v>210</v>
      </c>
      <c r="I232" s="592" t="s">
        <v>213</v>
      </c>
      <c r="J232" s="593" t="s">
        <v>28</v>
      </c>
      <c r="K232" s="562"/>
      <c r="L232" s="562"/>
      <c r="M232" s="562"/>
      <c r="N232" s="562"/>
      <c r="O232" s="375"/>
    </row>
    <row r="233" spans="1:15" ht="15.75">
      <c r="A233" s="375"/>
      <c r="B233" s="566" t="s">
        <v>214</v>
      </c>
      <c r="C233" s="599" t="s">
        <v>215</v>
      </c>
      <c r="D233" s="578">
        <f>C138</f>
        <v>0</v>
      </c>
      <c r="E233" s="579"/>
      <c r="F233" s="579"/>
      <c r="G233" s="579"/>
      <c r="H233" s="579"/>
      <c r="I233" s="579"/>
      <c r="J233" s="580">
        <f>E138</f>
        <v>0</v>
      </c>
      <c r="K233" s="571"/>
      <c r="L233" s="571"/>
      <c r="M233" s="562"/>
      <c r="N233" s="562"/>
      <c r="O233" s="375"/>
    </row>
    <row r="234" spans="1:15" ht="15.75">
      <c r="A234" s="375"/>
      <c r="B234" s="566"/>
      <c r="C234" s="599" t="s">
        <v>216</v>
      </c>
      <c r="D234" s="581">
        <f>C139</f>
        <v>0</v>
      </c>
      <c r="E234" s="582"/>
      <c r="F234" s="582"/>
      <c r="G234" s="582"/>
      <c r="H234" s="582"/>
      <c r="I234" s="582"/>
      <c r="J234" s="583">
        <f>E139</f>
        <v>0</v>
      </c>
      <c r="K234" s="571"/>
      <c r="L234" s="571"/>
      <c r="M234" s="562"/>
      <c r="N234" s="562"/>
      <c r="O234" s="375"/>
    </row>
    <row r="235" spans="1:15" ht="15.75">
      <c r="A235" s="375"/>
      <c r="B235" s="566"/>
      <c r="C235" s="599" t="s">
        <v>217</v>
      </c>
      <c r="D235" s="581">
        <f>C140</f>
        <v>0</v>
      </c>
      <c r="E235" s="582"/>
      <c r="F235" s="600" t="s">
        <v>218</v>
      </c>
      <c r="G235" s="600"/>
      <c r="H235" s="600"/>
      <c r="I235" s="582"/>
      <c r="J235" s="583">
        <f>E140</f>
        <v>0</v>
      </c>
      <c r="K235" s="571"/>
      <c r="L235" s="571"/>
      <c r="M235" s="562"/>
      <c r="N235" s="562"/>
      <c r="O235" s="375"/>
    </row>
    <row r="236" spans="1:15" ht="15.75">
      <c r="A236" s="375"/>
      <c r="B236" s="566" t="s">
        <v>219</v>
      </c>
      <c r="C236" s="599" t="s">
        <v>215</v>
      </c>
      <c r="D236" s="581">
        <f>C155</f>
        <v>0</v>
      </c>
      <c r="E236" s="582"/>
      <c r="F236" s="82">
        <f>(MAIN!H28+MAIN!I28)*MAIN!I41+MAIN!J28*MAIN!I42</f>
        <v>0</v>
      </c>
      <c r="G236" s="83">
        <f aca="true" t="shared" si="13" ref="G236:H238">D128</f>
        <v>0</v>
      </c>
      <c r="H236" s="84">
        <f t="shared" si="13"/>
        <v>0</v>
      </c>
      <c r="I236" s="582"/>
      <c r="J236" s="583">
        <f>E155</f>
        <v>0</v>
      </c>
      <c r="K236" s="571"/>
      <c r="L236" s="571"/>
      <c r="M236" s="562"/>
      <c r="N236" s="562"/>
      <c r="O236" s="375"/>
    </row>
    <row r="237" spans="1:15" ht="15.75">
      <c r="A237" s="375"/>
      <c r="B237" s="566"/>
      <c r="C237" s="599" t="s">
        <v>216</v>
      </c>
      <c r="D237" s="581">
        <f>C156</f>
        <v>0</v>
      </c>
      <c r="E237" s="582"/>
      <c r="F237" s="85">
        <f>(MAIN!H28+MAIN!I28)*MAIN!H41</f>
        <v>0</v>
      </c>
      <c r="G237" s="86">
        <f t="shared" si="13"/>
        <v>0</v>
      </c>
      <c r="H237" s="87">
        <f t="shared" si="13"/>
        <v>0</v>
      </c>
      <c r="I237" s="582"/>
      <c r="J237" s="583">
        <f>E156</f>
        <v>0</v>
      </c>
      <c r="K237" s="571"/>
      <c r="L237" s="571"/>
      <c r="M237" s="562"/>
      <c r="N237" s="562"/>
      <c r="O237" s="375"/>
    </row>
    <row r="238" spans="1:15" ht="15.75">
      <c r="A238" s="375"/>
      <c r="B238" s="566"/>
      <c r="C238" s="599" t="s">
        <v>217</v>
      </c>
      <c r="D238" s="581">
        <f>C157</f>
        <v>0</v>
      </c>
      <c r="E238" s="582"/>
      <c r="F238" s="88">
        <f>F236</f>
        <v>0</v>
      </c>
      <c r="G238" s="89">
        <f t="shared" si="13"/>
        <v>0</v>
      </c>
      <c r="H238" s="90">
        <f t="shared" si="13"/>
        <v>0</v>
      </c>
      <c r="I238" s="582"/>
      <c r="J238" s="583">
        <f>E157</f>
        <v>0</v>
      </c>
      <c r="K238" s="571"/>
      <c r="L238" s="571"/>
      <c r="M238" s="562"/>
      <c r="N238" s="562"/>
      <c r="O238" s="375"/>
    </row>
    <row r="239" spans="1:15" ht="15.75">
      <c r="A239" s="375"/>
      <c r="B239" s="566" t="s">
        <v>220</v>
      </c>
      <c r="C239" s="599" t="s">
        <v>215</v>
      </c>
      <c r="D239" s="581"/>
      <c r="E239" s="582" t="e">
        <f>MAX(0,D233/F236)</f>
        <v>#DIV/0!</v>
      </c>
      <c r="F239" s="582">
        <f>MAIN!K29</f>
        <v>0</v>
      </c>
      <c r="G239" s="582" t="e">
        <f>MIN((D233-G236)/F236,MAIN!C$21)</f>
        <v>#DIV/0!</v>
      </c>
      <c r="H239" s="582">
        <f>MAIN!K30</f>
        <v>0</v>
      </c>
      <c r="I239" s="582" t="e">
        <f>MIN((D233-G236-H236)/F236,MAIN!C$21)</f>
        <v>#DIV/0!</v>
      </c>
      <c r="J239" s="583"/>
      <c r="K239" s="571"/>
      <c r="L239" s="571"/>
      <c r="M239" s="562"/>
      <c r="N239" s="562"/>
      <c r="O239" s="375"/>
    </row>
    <row r="240" spans="1:15" ht="15.75">
      <c r="A240" s="375"/>
      <c r="B240" s="566"/>
      <c r="C240" s="599" t="s">
        <v>216</v>
      </c>
      <c r="D240" s="581"/>
      <c r="E240" s="582" t="e">
        <f>MAX(0,D234/F237)</f>
        <v>#DIV/0!</v>
      </c>
      <c r="F240" s="582">
        <f>F239</f>
        <v>0</v>
      </c>
      <c r="G240" s="582" t="e">
        <f>MIN((D234-G237)/F237,MAIN!C$21)</f>
        <v>#DIV/0!</v>
      </c>
      <c r="H240" s="582">
        <f>H239</f>
        <v>0</v>
      </c>
      <c r="I240" s="582" t="e">
        <f>MIN((D234-G237-H237)/F237,MAIN!C$21)</f>
        <v>#DIV/0!</v>
      </c>
      <c r="J240" s="583"/>
      <c r="K240" s="571"/>
      <c r="L240" s="571"/>
      <c r="M240" s="562"/>
      <c r="N240" s="562"/>
      <c r="O240" s="375"/>
    </row>
    <row r="241" spans="1:15" ht="15.75">
      <c r="A241" s="375"/>
      <c r="B241" s="566"/>
      <c r="C241" s="599" t="s">
        <v>217</v>
      </c>
      <c r="D241" s="581"/>
      <c r="E241" s="582" t="e">
        <f>MAX(0,D235/F238)</f>
        <v>#DIV/0!</v>
      </c>
      <c r="F241" s="582">
        <f>F239</f>
        <v>0</v>
      </c>
      <c r="G241" s="582" t="e">
        <f>MIN((D235-G238)/F238,MAIN!C$21)</f>
        <v>#DIV/0!</v>
      </c>
      <c r="H241" s="582">
        <f>H239</f>
        <v>0</v>
      </c>
      <c r="I241" s="582" t="e">
        <f>MIN((D235-G238-H238)/F238,MAIN!C$21)</f>
        <v>#DIV/0!</v>
      </c>
      <c r="J241" s="583"/>
      <c r="K241" s="571"/>
      <c r="L241" s="571"/>
      <c r="M241" s="562"/>
      <c r="N241" s="562"/>
      <c r="O241" s="375"/>
    </row>
    <row r="242" spans="1:15" ht="15.75">
      <c r="A242" s="375"/>
      <c r="B242" s="566" t="s">
        <v>221</v>
      </c>
      <c r="C242" s="599" t="s">
        <v>215</v>
      </c>
      <c r="D242" s="581"/>
      <c r="E242" s="582" t="e">
        <f>MAX(0,D236/F236)</f>
        <v>#DIV/0!</v>
      </c>
      <c r="F242" s="582">
        <f>F241</f>
        <v>0</v>
      </c>
      <c r="G242" s="582" t="e">
        <f>MIN((D236-G236)/F236,MAIN!C$21)</f>
        <v>#DIV/0!</v>
      </c>
      <c r="H242" s="582">
        <f>H241</f>
        <v>0</v>
      </c>
      <c r="I242" s="582" t="e">
        <f>MIN((D236-G236-H236)/F236,MAIN!C$21)</f>
        <v>#DIV/0!</v>
      </c>
      <c r="J242" s="583"/>
      <c r="K242" s="571"/>
      <c r="L242" s="571"/>
      <c r="M242" s="562"/>
      <c r="N242" s="562"/>
      <c r="O242" s="375"/>
    </row>
    <row r="243" spans="1:15" ht="15.75">
      <c r="A243" s="375"/>
      <c r="B243" s="566"/>
      <c r="C243" s="599" t="s">
        <v>216</v>
      </c>
      <c r="D243" s="581"/>
      <c r="E243" s="582" t="e">
        <f>MAX(0,D237/F237)</f>
        <v>#DIV/0!</v>
      </c>
      <c r="F243" s="582">
        <f>F242</f>
        <v>0</v>
      </c>
      <c r="G243" s="582" t="e">
        <f>MIN((D237-G237)/F237,MAIN!C$21)</f>
        <v>#DIV/0!</v>
      </c>
      <c r="H243" s="582">
        <f>H242</f>
        <v>0</v>
      </c>
      <c r="I243" s="582" t="e">
        <f>MIN((D237-G237-H237)/F237,MAIN!C$21)</f>
        <v>#DIV/0!</v>
      </c>
      <c r="J243" s="583"/>
      <c r="K243" s="601" t="s">
        <v>222</v>
      </c>
      <c r="L243" s="602"/>
      <c r="M243" s="562"/>
      <c r="N243" s="562"/>
      <c r="O243" s="375"/>
    </row>
    <row r="244" spans="1:15" ht="15.75">
      <c r="A244" s="375"/>
      <c r="B244" s="566"/>
      <c r="C244" s="599" t="s">
        <v>217</v>
      </c>
      <c r="D244" s="581"/>
      <c r="E244" s="582" t="e">
        <f>MAX(0,D238/F238)</f>
        <v>#DIV/0!</v>
      </c>
      <c r="F244" s="582">
        <f>F243</f>
        <v>0</v>
      </c>
      <c r="G244" s="582" t="e">
        <f>MIN((D238-G238)/F238,MAIN!C$21)</f>
        <v>#DIV/0!</v>
      </c>
      <c r="H244" s="582">
        <f>H243</f>
        <v>0</v>
      </c>
      <c r="I244" s="582" t="e">
        <f>MIN((D238-G238-H238)/F238,MAIN!C$21)</f>
        <v>#DIV/0!</v>
      </c>
      <c r="J244" s="583"/>
      <c r="K244" s="572" t="s">
        <v>223</v>
      </c>
      <c r="L244" s="603"/>
      <c r="M244" s="562"/>
      <c r="N244" s="562"/>
      <c r="O244" s="375"/>
    </row>
    <row r="245" spans="1:15" ht="15.75">
      <c r="A245" s="375"/>
      <c r="B245" s="566" t="s">
        <v>224</v>
      </c>
      <c r="C245" s="599" t="s">
        <v>215</v>
      </c>
      <c r="D245" s="581">
        <f aca="true" t="shared" si="14" ref="D245:D250">J225</f>
        <v>0</v>
      </c>
      <c r="E245" s="582" t="e">
        <f>IF(E239&gt;F239,0,D233*E239-F236*E239^2/2-D245)</f>
        <v>#DIV/0!</v>
      </c>
      <c r="F245" s="582">
        <f>D233*F239-F236*F239^2/2-D245</f>
        <v>0</v>
      </c>
      <c r="G245" s="582" t="e">
        <f>IF(F239&gt;G239,0,D233*G239-F236*G239^2/2-G236*(G239-F239)-D245)</f>
        <v>#DIV/0!</v>
      </c>
      <c r="H245" s="582">
        <f>D233*H239-F236*H239^2/2-G236*(H239-F239)-D245</f>
        <v>0</v>
      </c>
      <c r="I245" s="582" t="e">
        <f>IF(I239&lt;H239,0,D233*I239-F236*I239^2/2-G236*(I239-F239)-H236*(I239-H239)-D245)</f>
        <v>#DIV/0!</v>
      </c>
      <c r="J245" s="583">
        <f>G106</f>
        <v>0</v>
      </c>
      <c r="K245" s="604" t="e">
        <f>MAX(E245:I245)</f>
        <v>#DIV/0!</v>
      </c>
      <c r="L245" s="605"/>
      <c r="M245" s="562"/>
      <c r="N245" s="562"/>
      <c r="O245" s="375"/>
    </row>
    <row r="246" spans="1:15" ht="15.75">
      <c r="A246" s="375"/>
      <c r="B246" s="566"/>
      <c r="C246" s="599" t="s">
        <v>216</v>
      </c>
      <c r="D246" s="581">
        <f t="shared" si="14"/>
        <v>0</v>
      </c>
      <c r="E246" s="582" t="e">
        <f>IF(E240&gt;F240,0,D234*E240-F237*E240^2/2-D246)</f>
        <v>#DIV/0!</v>
      </c>
      <c r="F246" s="582">
        <f>D234*F240-F237*F240^2/2-D246</f>
        <v>0</v>
      </c>
      <c r="G246" s="582" t="e">
        <f>IF(F240&gt;G240,0,D234*G240-F237*G240^2/2-G237*(G240-F240)-D246)</f>
        <v>#DIV/0!</v>
      </c>
      <c r="H246" s="582">
        <f>D234*H240-F237*H240^2/2-G237*(H240-F240)-D246</f>
        <v>0</v>
      </c>
      <c r="I246" s="582" t="e">
        <f>IF(I240&lt;H240,0,D234*I240-F237*I240^2/2-G237*(I240-F240)-H237*(I240-H240)-D246)</f>
        <v>#DIV/0!</v>
      </c>
      <c r="J246" s="583">
        <f>G107</f>
        <v>0</v>
      </c>
      <c r="K246" s="604" t="e">
        <f>MAX(E246:I246)</f>
        <v>#DIV/0!</v>
      </c>
      <c r="L246" s="605"/>
      <c r="M246" s="562"/>
      <c r="N246" s="562"/>
      <c r="O246" s="375"/>
    </row>
    <row r="247" spans="1:15" ht="15">
      <c r="A247" s="375"/>
      <c r="B247" s="566"/>
      <c r="C247" s="599" t="s">
        <v>217</v>
      </c>
      <c r="D247" s="581">
        <f t="shared" si="14"/>
        <v>0</v>
      </c>
      <c r="E247" s="582" t="e">
        <f>IF(E241&gt;F241,0,D235*E241-F238*E241^2/2-D247)</f>
        <v>#DIV/0!</v>
      </c>
      <c r="F247" s="582">
        <f>D235*F241-F238*F241^2/2-D247</f>
        <v>0</v>
      </c>
      <c r="G247" s="582" t="e">
        <f>IF(F241&gt;G241,0,D235*G241-F238*G241^2/2-G238*(G241-F241)-D247)</f>
        <v>#DIV/0!</v>
      </c>
      <c r="H247" s="582">
        <f>D235*H241-F238*H241^2/2-G238*(H241-F241)-D247</f>
        <v>0</v>
      </c>
      <c r="I247" s="582" t="e">
        <f>IF(I241&lt;H241,0,D235*I241-F238*I241^2/2-G238*(I241-F241)-H238*(I241-H241)-D247)</f>
        <v>#DIV/0!</v>
      </c>
      <c r="J247" s="583">
        <f>G108</f>
        <v>0</v>
      </c>
      <c r="K247" s="604" t="e">
        <f>MAX(E247:I247)</f>
        <v>#DIV/0!</v>
      </c>
      <c r="L247" s="606" t="s">
        <v>106</v>
      </c>
      <c r="M247" s="562"/>
      <c r="N247" s="562"/>
      <c r="O247" s="375"/>
    </row>
    <row r="248" spans="1:15" ht="15">
      <c r="A248" s="375"/>
      <c r="B248" s="566" t="s">
        <v>225</v>
      </c>
      <c r="C248" s="599" t="s">
        <v>215</v>
      </c>
      <c r="D248" s="581">
        <f t="shared" si="14"/>
        <v>0</v>
      </c>
      <c r="E248" s="582" t="e">
        <f>IF(E242&gt;F242,0,D236*E242-F236*E242^2/2-D248)</f>
        <v>#DIV/0!</v>
      </c>
      <c r="F248" s="582">
        <f>D236*F242-F236*F242^2/2-D248</f>
        <v>0</v>
      </c>
      <c r="G248" s="582" t="e">
        <f>IF(F242&gt;G242,0,D236*G242-F236*G242^2/2-G236*(G242-F242)-D248)</f>
        <v>#DIV/0!</v>
      </c>
      <c r="H248" s="582">
        <f>D236*H242-F236*H242^2/2-G236*(H242-F242)-D248</f>
        <v>0</v>
      </c>
      <c r="I248" s="582" t="e">
        <f>IF(I242&lt;H242,0,D236*I242-F236*I242^2/2-G236*(I242-F242)-H236*(I242-H242)-D248)</f>
        <v>#DIV/0!</v>
      </c>
      <c r="J248" s="583">
        <f>G115</f>
        <v>0</v>
      </c>
      <c r="K248" s="604" t="e">
        <f>MAX(E248:I248,0.7*K245)</f>
        <v>#DIV/0!</v>
      </c>
      <c r="L248" s="607" t="e">
        <f>IF(K245=0,0,K248/K245)</f>
        <v>#DIV/0!</v>
      </c>
      <c r="M248" s="562"/>
      <c r="N248" s="562"/>
      <c r="O248" s="375"/>
    </row>
    <row r="249" spans="1:15" ht="15">
      <c r="A249" s="375"/>
      <c r="B249" s="566"/>
      <c r="C249" s="599" t="s">
        <v>216</v>
      </c>
      <c r="D249" s="581">
        <f t="shared" si="14"/>
        <v>0</v>
      </c>
      <c r="E249" s="582" t="e">
        <f>IF(E243&gt;F243,0,D237*E243-F237*E243^2/2-D249)</f>
        <v>#DIV/0!</v>
      </c>
      <c r="F249" s="582">
        <f>D237*F243-F237*F243^2/2-D249</f>
        <v>0</v>
      </c>
      <c r="G249" s="582" t="e">
        <f>IF(F243&gt;G243,0,D237*G243-F237*G243^2/2-G237*(G243-F243)-D249)</f>
        <v>#DIV/0!</v>
      </c>
      <c r="H249" s="582">
        <f>D237*H243-F237*H243^2/2-G237*(H243-F243)-D249</f>
        <v>0</v>
      </c>
      <c r="I249" s="582" t="e">
        <f>IF(I243&lt;H243,0,D237*I243-F237*I243^2/2-G237*(I243-F243)-H237*(I243-H243)-D249)</f>
        <v>#DIV/0!</v>
      </c>
      <c r="J249" s="583">
        <f>G116</f>
        <v>0</v>
      </c>
      <c r="K249" s="604" t="e">
        <f>MAX(E249:I249,0.7*K246)</f>
        <v>#DIV/0!</v>
      </c>
      <c r="L249" s="607" t="e">
        <f>IF(K246=0,0,K249/K246)</f>
        <v>#DIV/0!</v>
      </c>
      <c r="M249" s="562"/>
      <c r="N249" s="562"/>
      <c r="O249" s="375"/>
    </row>
    <row r="250" spans="1:15" ht="15">
      <c r="A250" s="375"/>
      <c r="B250" s="566"/>
      <c r="C250" s="599" t="s">
        <v>217</v>
      </c>
      <c r="D250" s="584">
        <f t="shared" si="14"/>
        <v>0</v>
      </c>
      <c r="E250" s="585" t="e">
        <f>IF(E244&gt;F244,0,D238*E244-F238*E244^2/2-D250)</f>
        <v>#DIV/0!</v>
      </c>
      <c r="F250" s="585">
        <f>D238*F244-F238*F244^2/2-D250</f>
        <v>0</v>
      </c>
      <c r="G250" s="585" t="e">
        <f>IF(F244&gt;G244,0,D238*G244-F238*G244^2/2-G238*(G244-F244)-D250)</f>
        <v>#DIV/0!</v>
      </c>
      <c r="H250" s="585">
        <f>D238*H244-F238*H244^2/2-G238*(H244-F244)-D250</f>
        <v>0</v>
      </c>
      <c r="I250" s="585" t="e">
        <f>IF(I244&lt;H244,0,D238*I244-F238*I244^2/2-G238*(I244-F244)-H238*(I244-H244)-D250)</f>
        <v>#DIV/0!</v>
      </c>
      <c r="J250" s="586">
        <f>G117</f>
        <v>0</v>
      </c>
      <c r="K250" s="608" t="e">
        <f>MAX(E250:I250,0.7*K247)</f>
        <v>#DIV/0!</v>
      </c>
      <c r="L250" s="609" t="e">
        <f>IF(K247=0,0,K250/K247)</f>
        <v>#DIV/0!</v>
      </c>
      <c r="M250" s="562"/>
      <c r="N250" s="562"/>
      <c r="O250" s="375"/>
    </row>
    <row r="251" spans="1:15" ht="12.75">
      <c r="A251" s="375"/>
      <c r="B251" s="562"/>
      <c r="C251" s="562"/>
      <c r="D251" s="562"/>
      <c r="E251" s="562"/>
      <c r="F251" s="562"/>
      <c r="G251" s="562"/>
      <c r="H251" s="562"/>
      <c r="I251" s="562"/>
      <c r="J251" s="562"/>
      <c r="K251" s="562"/>
      <c r="L251" s="562"/>
      <c r="M251" s="562"/>
      <c r="N251" s="562"/>
      <c r="O251" s="375"/>
    </row>
    <row r="252" spans="1:15" ht="15.75">
      <c r="A252" s="375"/>
      <c r="B252" s="598" t="s">
        <v>60</v>
      </c>
      <c r="C252" s="570"/>
      <c r="D252" s="591" t="s">
        <v>27</v>
      </c>
      <c r="E252" s="592" t="s">
        <v>213</v>
      </c>
      <c r="F252" s="592" t="s">
        <v>209</v>
      </c>
      <c r="G252" s="592" t="s">
        <v>213</v>
      </c>
      <c r="H252" s="592" t="s">
        <v>210</v>
      </c>
      <c r="I252" s="592" t="s">
        <v>213</v>
      </c>
      <c r="J252" s="593" t="s">
        <v>28</v>
      </c>
      <c r="K252" s="562"/>
      <c r="L252" s="562"/>
      <c r="M252" s="562"/>
      <c r="N252" s="562"/>
      <c r="O252" s="375"/>
    </row>
    <row r="253" spans="1:15" ht="15.75">
      <c r="A253" s="375"/>
      <c r="B253" s="566" t="s">
        <v>214</v>
      </c>
      <c r="C253" s="599" t="s">
        <v>215</v>
      </c>
      <c r="D253" s="578">
        <f>F138</f>
        <v>0</v>
      </c>
      <c r="E253" s="579"/>
      <c r="F253" s="579"/>
      <c r="G253" s="579"/>
      <c r="H253" s="579"/>
      <c r="I253" s="579"/>
      <c r="J253" s="580">
        <f>H138</f>
        <v>0</v>
      </c>
      <c r="K253" s="571"/>
      <c r="L253" s="571"/>
      <c r="M253" s="562"/>
      <c r="N253" s="562"/>
      <c r="O253" s="375"/>
    </row>
    <row r="254" spans="1:15" ht="15.75">
      <c r="A254" s="375"/>
      <c r="B254" s="566"/>
      <c r="C254" s="599" t="s">
        <v>216</v>
      </c>
      <c r="D254" s="581">
        <f>F139</f>
        <v>0</v>
      </c>
      <c r="E254" s="582"/>
      <c r="F254" s="582"/>
      <c r="G254" s="582"/>
      <c r="H254" s="582"/>
      <c r="I254" s="582"/>
      <c r="J254" s="583">
        <f>H139</f>
        <v>0</v>
      </c>
      <c r="K254" s="571"/>
      <c r="L254" s="571"/>
      <c r="M254" s="562"/>
      <c r="N254" s="562"/>
      <c r="O254" s="375"/>
    </row>
    <row r="255" spans="1:15" ht="15.75">
      <c r="A255" s="375"/>
      <c r="B255" s="566"/>
      <c r="C255" s="599" t="s">
        <v>217</v>
      </c>
      <c r="D255" s="581">
        <f>F140</f>
        <v>0</v>
      </c>
      <c r="E255" s="582"/>
      <c r="F255" s="600" t="s">
        <v>218</v>
      </c>
      <c r="G255" s="600"/>
      <c r="H255" s="600"/>
      <c r="I255" s="582"/>
      <c r="J255" s="583">
        <f>H140</f>
        <v>0</v>
      </c>
      <c r="K255" s="571"/>
      <c r="L255" s="571"/>
      <c r="M255" s="562"/>
      <c r="N255" s="562"/>
      <c r="O255" s="375"/>
    </row>
    <row r="256" spans="1:15" ht="15.75">
      <c r="A256" s="375"/>
      <c r="B256" s="566" t="s">
        <v>219</v>
      </c>
      <c r="C256" s="599" t="s">
        <v>215</v>
      </c>
      <c r="D256" s="581">
        <f>F155</f>
        <v>0</v>
      </c>
      <c r="E256" s="582"/>
      <c r="F256" s="82">
        <f>(MAIN!H32+MAIN!I32)*MAIN!I41+MAIN!J32*MAIN!I42</f>
        <v>0</v>
      </c>
      <c r="G256" s="83">
        <f aca="true" t="shared" si="15" ref="G256:H258">G128</f>
        <v>0</v>
      </c>
      <c r="H256" s="84">
        <f t="shared" si="15"/>
        <v>0</v>
      </c>
      <c r="I256" s="582"/>
      <c r="J256" s="583">
        <f>H155</f>
        <v>0</v>
      </c>
      <c r="K256" s="571"/>
      <c r="L256" s="571"/>
      <c r="M256" s="562"/>
      <c r="N256" s="562"/>
      <c r="O256" s="375"/>
    </row>
    <row r="257" spans="1:15" ht="15.75">
      <c r="A257" s="375"/>
      <c r="B257" s="566"/>
      <c r="C257" s="599" t="s">
        <v>216</v>
      </c>
      <c r="D257" s="581">
        <f>F156</f>
        <v>0</v>
      </c>
      <c r="E257" s="582"/>
      <c r="F257" s="85">
        <f>F256</f>
        <v>0</v>
      </c>
      <c r="G257" s="86">
        <f t="shared" si="15"/>
        <v>0</v>
      </c>
      <c r="H257" s="87">
        <f t="shared" si="15"/>
        <v>0</v>
      </c>
      <c r="I257" s="582"/>
      <c r="J257" s="583">
        <f>H156</f>
        <v>0</v>
      </c>
      <c r="K257" s="571"/>
      <c r="L257" s="571"/>
      <c r="M257" s="562"/>
      <c r="N257" s="562"/>
      <c r="O257" s="375"/>
    </row>
    <row r="258" spans="1:15" ht="15.75">
      <c r="A258" s="375"/>
      <c r="B258" s="566"/>
      <c r="C258" s="599" t="s">
        <v>217</v>
      </c>
      <c r="D258" s="581">
        <f>F157</f>
        <v>0</v>
      </c>
      <c r="E258" s="582"/>
      <c r="F258" s="88">
        <f>(MAIN!H32+MAIN!I32)*MAIN!H41</f>
        <v>0</v>
      </c>
      <c r="G258" s="89">
        <f t="shared" si="15"/>
        <v>0</v>
      </c>
      <c r="H258" s="90">
        <f t="shared" si="15"/>
        <v>0</v>
      </c>
      <c r="I258" s="582"/>
      <c r="J258" s="583">
        <f>H157</f>
        <v>0</v>
      </c>
      <c r="K258" s="571"/>
      <c r="L258" s="571"/>
      <c r="M258" s="562"/>
      <c r="N258" s="562"/>
      <c r="O258" s="375"/>
    </row>
    <row r="259" spans="1:15" ht="15.75">
      <c r="A259" s="375"/>
      <c r="B259" s="566" t="s">
        <v>220</v>
      </c>
      <c r="C259" s="599" t="s">
        <v>215</v>
      </c>
      <c r="D259" s="581"/>
      <c r="E259" s="582" t="e">
        <f>MAX(0,D253/F256)</f>
        <v>#DIV/0!</v>
      </c>
      <c r="F259" s="582">
        <f>MAIN!K33</f>
        <v>0</v>
      </c>
      <c r="G259" s="582" t="e">
        <f>MIN((D253-G256)/F256,MAIN!C$22)</f>
        <v>#DIV/0!</v>
      </c>
      <c r="H259" s="582">
        <f>MAIN!K34</f>
        <v>0</v>
      </c>
      <c r="I259" s="582" t="e">
        <f>MIN((D253-G256-H256)/F256,MAIN!C$22)</f>
        <v>#DIV/0!</v>
      </c>
      <c r="J259" s="583"/>
      <c r="K259" s="571"/>
      <c r="L259" s="571"/>
      <c r="M259" s="562"/>
      <c r="N259" s="562"/>
      <c r="O259" s="375"/>
    </row>
    <row r="260" spans="1:15" ht="15.75">
      <c r="A260" s="375"/>
      <c r="B260" s="566"/>
      <c r="C260" s="599" t="s">
        <v>216</v>
      </c>
      <c r="D260" s="581"/>
      <c r="E260" s="582" t="e">
        <f>MAX(0,D254/F257)</f>
        <v>#DIV/0!</v>
      </c>
      <c r="F260" s="582">
        <f>F259</f>
        <v>0</v>
      </c>
      <c r="G260" s="582" t="e">
        <f>MIN((D254-G257)/F257,MAIN!C$22)</f>
        <v>#DIV/0!</v>
      </c>
      <c r="H260" s="582">
        <f>H259</f>
        <v>0</v>
      </c>
      <c r="I260" s="582" t="e">
        <f>MIN((D254-G257-H257)/F257,MAIN!C$22)</f>
        <v>#DIV/0!</v>
      </c>
      <c r="J260" s="583"/>
      <c r="K260" s="571"/>
      <c r="L260" s="571"/>
      <c r="M260" s="562"/>
      <c r="N260" s="562"/>
      <c r="O260" s="375"/>
    </row>
    <row r="261" spans="1:15" ht="15.75">
      <c r="A261" s="375"/>
      <c r="B261" s="566"/>
      <c r="C261" s="599" t="s">
        <v>217</v>
      </c>
      <c r="D261" s="581"/>
      <c r="E261" s="582" t="e">
        <f>MAX(0,D255/F258)</f>
        <v>#DIV/0!</v>
      </c>
      <c r="F261" s="582">
        <f>F259</f>
        <v>0</v>
      </c>
      <c r="G261" s="582" t="e">
        <f>MIN((D255-G258)/F258,MAIN!C$22)</f>
        <v>#DIV/0!</v>
      </c>
      <c r="H261" s="582">
        <f>H259</f>
        <v>0</v>
      </c>
      <c r="I261" s="582" t="e">
        <f>MIN((D255-G258-H258)/F258,MAIN!C$22)</f>
        <v>#DIV/0!</v>
      </c>
      <c r="J261" s="583"/>
      <c r="K261" s="571"/>
      <c r="L261" s="571"/>
      <c r="M261" s="562"/>
      <c r="N261" s="562"/>
      <c r="O261" s="375"/>
    </row>
    <row r="262" spans="1:15" ht="15.75">
      <c r="A262" s="375"/>
      <c r="B262" s="566" t="s">
        <v>221</v>
      </c>
      <c r="C262" s="599" t="s">
        <v>215</v>
      </c>
      <c r="D262" s="581"/>
      <c r="E262" s="582" t="e">
        <f>MAX(0,D256/F256)</f>
        <v>#DIV/0!</v>
      </c>
      <c r="F262" s="582">
        <f>F261</f>
        <v>0</v>
      </c>
      <c r="G262" s="582" t="e">
        <f>MIN((D256-G256)/F256,MAIN!C$22)</f>
        <v>#DIV/0!</v>
      </c>
      <c r="H262" s="582">
        <f>H261</f>
        <v>0</v>
      </c>
      <c r="I262" s="582" t="e">
        <f>MIN((D256-G256-H256)/F256,MAIN!C$22)</f>
        <v>#DIV/0!</v>
      </c>
      <c r="J262" s="583"/>
      <c r="K262" s="571"/>
      <c r="L262" s="571"/>
      <c r="M262" s="562"/>
      <c r="N262" s="562"/>
      <c r="O262" s="375"/>
    </row>
    <row r="263" spans="1:15" ht="15.75">
      <c r="A263" s="375"/>
      <c r="B263" s="566"/>
      <c r="C263" s="599" t="s">
        <v>216</v>
      </c>
      <c r="D263" s="581"/>
      <c r="E263" s="582" t="e">
        <f>MAX(0,D257/F257)</f>
        <v>#DIV/0!</v>
      </c>
      <c r="F263" s="582">
        <f>F262</f>
        <v>0</v>
      </c>
      <c r="G263" s="582" t="e">
        <f>MIN((D257-G257)/F257,MAIN!C$22)</f>
        <v>#DIV/0!</v>
      </c>
      <c r="H263" s="582">
        <f>H262</f>
        <v>0</v>
      </c>
      <c r="I263" s="582" t="e">
        <f>MIN((D257-G257-H257)/F257,MAIN!C$22)</f>
        <v>#DIV/0!</v>
      </c>
      <c r="J263" s="583"/>
      <c r="K263" s="601" t="s">
        <v>222</v>
      </c>
      <c r="L263" s="602"/>
      <c r="M263" s="562"/>
      <c r="N263" s="562"/>
      <c r="O263" s="375"/>
    </row>
    <row r="264" spans="1:15" ht="15.75">
      <c r="A264" s="375"/>
      <c r="B264" s="566"/>
      <c r="C264" s="599" t="s">
        <v>217</v>
      </c>
      <c r="D264" s="581"/>
      <c r="E264" s="582" t="e">
        <f>MAX(0,D258/F258)</f>
        <v>#DIV/0!</v>
      </c>
      <c r="F264" s="582">
        <f>F263</f>
        <v>0</v>
      </c>
      <c r="G264" s="582" t="e">
        <f>MIN((D258-G258)/F258,MAIN!C$22)</f>
        <v>#DIV/0!</v>
      </c>
      <c r="H264" s="582">
        <f>H263</f>
        <v>0</v>
      </c>
      <c r="I264" s="582" t="e">
        <f>MIN((D258-G258-H258)/F258,MAIN!C$22)</f>
        <v>#DIV/0!</v>
      </c>
      <c r="J264" s="583"/>
      <c r="K264" s="572" t="s">
        <v>223</v>
      </c>
      <c r="L264" s="603"/>
      <c r="M264" s="562"/>
      <c r="N264" s="562"/>
      <c r="O264" s="375"/>
    </row>
    <row r="265" spans="1:15" ht="15.75">
      <c r="A265" s="375"/>
      <c r="B265" s="566" t="s">
        <v>224</v>
      </c>
      <c r="C265" s="599" t="s">
        <v>215</v>
      </c>
      <c r="D265" s="581">
        <f aca="true" t="shared" si="16" ref="D265:D270">J245</f>
        <v>0</v>
      </c>
      <c r="E265" s="582" t="e">
        <f>IF(E259&gt;F259,0,D253*E259-F256*E259^2/2-D265)</f>
        <v>#DIV/0!</v>
      </c>
      <c r="F265" s="582">
        <f>D253*F259-F256*F259^2/2-D265</f>
        <v>0</v>
      </c>
      <c r="G265" s="582" t="e">
        <f>IF(F259&gt;G259,0,D253*G259-F256*G259^2/2-G256*(G259-F259)-D265)</f>
        <v>#DIV/0!</v>
      </c>
      <c r="H265" s="582">
        <f>D253*H259-F256*H259^2/2-G256*(H259-F259)-D265</f>
        <v>0</v>
      </c>
      <c r="I265" s="582" t="e">
        <f>IF(I259&lt;H259,0,D253*I259-F256*I259^2/2-G256*(I259-F259)-H256*(I259-H259)-D265)</f>
        <v>#DIV/0!</v>
      </c>
      <c r="J265" s="583">
        <f>H106</f>
        <v>0</v>
      </c>
      <c r="K265" s="604" t="e">
        <f>MAX(E265:I265)</f>
        <v>#DIV/0!</v>
      </c>
      <c r="L265" s="605"/>
      <c r="M265" s="562"/>
      <c r="N265" s="562"/>
      <c r="O265" s="375"/>
    </row>
    <row r="266" spans="1:15" ht="15.75">
      <c r="A266" s="375"/>
      <c r="B266" s="566"/>
      <c r="C266" s="599" t="s">
        <v>216</v>
      </c>
      <c r="D266" s="581">
        <f t="shared" si="16"/>
        <v>0</v>
      </c>
      <c r="E266" s="582" t="e">
        <f>IF(E260&gt;F260,0,D254*E260-F257*E260^2/2-D266)</f>
        <v>#DIV/0!</v>
      </c>
      <c r="F266" s="582">
        <f>D254*F260-F257*F260^2/2-D266</f>
        <v>0</v>
      </c>
      <c r="G266" s="582" t="e">
        <f>IF(F260&gt;G260,0,D254*G260-F257*G260^2/2-G257*(G260-F260)-D266)</f>
        <v>#DIV/0!</v>
      </c>
      <c r="H266" s="582">
        <f>D254*H260-F257*H260^2/2-G257*(H260-F260)-D266</f>
        <v>0</v>
      </c>
      <c r="I266" s="582" t="e">
        <f>IF(I260&lt;H260,0,D254*I260-F257*I260^2/2-G257*(I260-F260)-H257*(I260-H260)-D266)</f>
        <v>#DIV/0!</v>
      </c>
      <c r="J266" s="583">
        <f>H107</f>
        <v>0</v>
      </c>
      <c r="K266" s="604" t="e">
        <f>MAX(E266:I266)</f>
        <v>#DIV/0!</v>
      </c>
      <c r="L266" s="605"/>
      <c r="M266" s="562"/>
      <c r="N266" s="562"/>
      <c r="O266" s="375"/>
    </row>
    <row r="267" spans="1:15" ht="15">
      <c r="A267" s="375"/>
      <c r="B267" s="566"/>
      <c r="C267" s="599" t="s">
        <v>217</v>
      </c>
      <c r="D267" s="581">
        <f t="shared" si="16"/>
        <v>0</v>
      </c>
      <c r="E267" s="582" t="e">
        <f>IF(E261&gt;F261,0,D255*E261-F258*E261^2/2-D267)</f>
        <v>#DIV/0!</v>
      </c>
      <c r="F267" s="582">
        <f>D255*F261-F258*F261^2/2-D267</f>
        <v>0</v>
      </c>
      <c r="G267" s="582" t="e">
        <f>IF(F261&gt;G261,0,D255*G261-F258*G261^2/2-G258*(G261-F261)-D267)</f>
        <v>#DIV/0!</v>
      </c>
      <c r="H267" s="582">
        <f>D255*H261-F258*H261^2/2-G258*(H261-F261)-D267</f>
        <v>0</v>
      </c>
      <c r="I267" s="582" t="e">
        <f>IF(I261&lt;H261,0,D255*I261-F258*I261^2/2-G258*(I261-F261)-H258*(I261-H261)-D267)</f>
        <v>#DIV/0!</v>
      </c>
      <c r="J267" s="583">
        <f>H108</f>
        <v>0</v>
      </c>
      <c r="K267" s="604" t="e">
        <f>MAX(E267:I267)</f>
        <v>#DIV/0!</v>
      </c>
      <c r="L267" s="606" t="s">
        <v>106</v>
      </c>
      <c r="M267" s="562"/>
      <c r="N267" s="562"/>
      <c r="O267" s="375"/>
    </row>
    <row r="268" spans="1:15" ht="15">
      <c r="A268" s="375"/>
      <c r="B268" s="566" t="s">
        <v>225</v>
      </c>
      <c r="C268" s="599" t="s">
        <v>215</v>
      </c>
      <c r="D268" s="581">
        <f t="shared" si="16"/>
        <v>0</v>
      </c>
      <c r="E268" s="582" t="e">
        <f>IF(E262&gt;F262,0,D256*E262-F256*E262^2/2-D268)</f>
        <v>#DIV/0!</v>
      </c>
      <c r="F268" s="582">
        <f>D256*F262-F256*F262^2/2-D268</f>
        <v>0</v>
      </c>
      <c r="G268" s="582" t="e">
        <f>IF(F262&gt;G262,0,D256*G262-F256*G262^2/2-G256*(G262-F262)-D268)</f>
        <v>#DIV/0!</v>
      </c>
      <c r="H268" s="582">
        <f>D256*H262-F256*H262^2/2-G256*(H262-F262)-D268</f>
        <v>0</v>
      </c>
      <c r="I268" s="582" t="e">
        <f>IF(I262&lt;H262,0,D256*I262-F256*I262^2/2-G256*(I262-F262)-H256*(I262-H262)-D268)</f>
        <v>#DIV/0!</v>
      </c>
      <c r="J268" s="583">
        <f>H115</f>
        <v>0</v>
      </c>
      <c r="K268" s="604" t="e">
        <f>MAX(E268:I268,0.7*K265)</f>
        <v>#DIV/0!</v>
      </c>
      <c r="L268" s="607" t="e">
        <f>IF(K265=0,0,K268/K265)</f>
        <v>#DIV/0!</v>
      </c>
      <c r="M268" s="562"/>
      <c r="N268" s="562"/>
      <c r="O268" s="375"/>
    </row>
    <row r="269" spans="1:15" ht="15">
      <c r="A269" s="375"/>
      <c r="B269" s="566"/>
      <c r="C269" s="599" t="s">
        <v>216</v>
      </c>
      <c r="D269" s="581">
        <f t="shared" si="16"/>
        <v>0</v>
      </c>
      <c r="E269" s="582" t="e">
        <f>IF(E263&gt;F263,0,D257*E263-F257*E263^2/2-D269)</f>
        <v>#DIV/0!</v>
      </c>
      <c r="F269" s="582">
        <f>D257*F263-F257*F263^2/2-D269</f>
        <v>0</v>
      </c>
      <c r="G269" s="582" t="e">
        <f>IF(F263&gt;G263,0,D257*G263-F257*G263^2/2-G257*(G263-F263)-D269)</f>
        <v>#DIV/0!</v>
      </c>
      <c r="H269" s="582">
        <f>D257*H263-F257*H263^2/2-G257*(H263-F263)-D269</f>
        <v>0</v>
      </c>
      <c r="I269" s="582" t="e">
        <f>IF(I263&lt;H263,0,D257*I263-F257*I263^2/2-G257*(I263-F263)-H257*(I263-H263)-D269)</f>
        <v>#DIV/0!</v>
      </c>
      <c r="J269" s="583">
        <f>H116</f>
        <v>0</v>
      </c>
      <c r="K269" s="604" t="e">
        <f>MAX(E269:I269,0.7*K266)</f>
        <v>#DIV/0!</v>
      </c>
      <c r="L269" s="607" t="e">
        <f>IF(K266=0,0,K269/K266)</f>
        <v>#DIV/0!</v>
      </c>
      <c r="M269" s="562"/>
      <c r="N269" s="562"/>
      <c r="O269" s="375"/>
    </row>
    <row r="270" spans="1:15" ht="15.75" thickBot="1">
      <c r="A270" s="375"/>
      <c r="B270" s="566"/>
      <c r="C270" s="599" t="s">
        <v>217</v>
      </c>
      <c r="D270" s="581">
        <f t="shared" si="16"/>
        <v>0</v>
      </c>
      <c r="E270" s="617" t="e">
        <f>IF(E264&gt;F264,0,D258*E264-F258*E264^2/2-D270)</f>
        <v>#DIV/0!</v>
      </c>
      <c r="F270" s="617">
        <f>D258*F264-F258*F264^2/2-D270</f>
        <v>0</v>
      </c>
      <c r="G270" s="617" t="e">
        <f>IF(F264&gt;G264,0,D258*G264-F258*G264^2/2-G258*(G264-F264)-D270)</f>
        <v>#DIV/0!</v>
      </c>
      <c r="H270" s="617">
        <f>D258*H264-F258*H264^2/2-G258*(H264-F264)-D270</f>
        <v>0</v>
      </c>
      <c r="I270" s="617" t="e">
        <f>IF(I264&lt;H264,0,D258*I264-F258*I264^2/2-G258*(I264-F264)-H258*(I264-H264)-D270)</f>
        <v>#DIV/0!</v>
      </c>
      <c r="J270" s="583">
        <f>H117</f>
        <v>0</v>
      </c>
      <c r="K270" s="604" t="e">
        <f>MAX(E270:I270,0.7*K267)</f>
        <v>#DIV/0!</v>
      </c>
      <c r="L270" s="607" t="e">
        <f>IF(K267=0,0,K270/K267)</f>
        <v>#DIV/0!</v>
      </c>
      <c r="M270" s="562"/>
      <c r="N270" s="562"/>
      <c r="O270" s="375"/>
    </row>
    <row r="271" spans="1:15" ht="18">
      <c r="A271" s="375"/>
      <c r="B271" s="539" t="str">
        <f>B$2</f>
        <v> Project</v>
      </c>
      <c r="C271" s="540" t="str">
        <f>C$2</f>
        <v>Spreadsheets to BS 8110</v>
      </c>
      <c r="D271" s="542"/>
      <c r="E271" s="542"/>
      <c r="F271" s="542"/>
      <c r="G271" s="618"/>
      <c r="H271" s="618"/>
      <c r="I271" s="618"/>
      <c r="J271" s="618"/>
      <c r="K271" s="542"/>
      <c r="L271" s="542"/>
      <c r="M271" s="542"/>
      <c r="N271" s="619"/>
      <c r="O271" s="375"/>
    </row>
    <row r="272" spans="1:15" ht="18">
      <c r="A272" s="375"/>
      <c r="B272" s="543" t="str">
        <f>B$3</f>
        <v> Location</v>
      </c>
      <c r="C272" s="544" t="str">
        <f>C$3</f>
        <v>3rd Floor slab,  from 1 to 5a</v>
      </c>
      <c r="D272" s="545"/>
      <c r="E272" s="545"/>
      <c r="F272" s="545"/>
      <c r="G272" s="595"/>
      <c r="H272" s="595"/>
      <c r="I272" s="729" t="s">
        <v>405</v>
      </c>
      <c r="J272" s="595"/>
      <c r="K272" s="595"/>
      <c r="L272" s="545"/>
      <c r="M272" s="545"/>
      <c r="N272" s="620"/>
      <c r="O272" s="375"/>
    </row>
    <row r="273" spans="1:15" ht="12.75">
      <c r="A273" s="375"/>
      <c r="B273" s="546"/>
      <c r="C273" s="547" t="str">
        <f>C$4</f>
        <v>RIBBED SLABS to BS 8110:1997 (Analysis &amp; Design)</v>
      </c>
      <c r="D273" s="545"/>
      <c r="E273" s="545"/>
      <c r="F273" s="545"/>
      <c r="G273" s="595"/>
      <c r="H273" s="595"/>
      <c r="I273" s="595"/>
      <c r="J273" s="595"/>
      <c r="K273" s="545"/>
      <c r="L273" s="595"/>
      <c r="M273" s="548" t="str">
        <f>M$4</f>
        <v>Made by  rmw    Job No  R68</v>
      </c>
      <c r="N273" s="620"/>
      <c r="O273" s="375"/>
    </row>
    <row r="274" spans="1:15" ht="13.5" thickBot="1">
      <c r="A274" s="375"/>
      <c r="B274" s="549"/>
      <c r="C274" s="550" t="str">
        <f>C$5</f>
        <v>Originated from  RCC32.xls v2.2 on CD               © 2000-2003 BCA for RCC</v>
      </c>
      <c r="D274" s="552"/>
      <c r="E274" s="552"/>
      <c r="F274" s="552"/>
      <c r="G274" s="621"/>
      <c r="H274" s="621"/>
      <c r="I274" s="621"/>
      <c r="J274" s="621"/>
      <c r="K274" s="552"/>
      <c r="L274" s="553" t="str">
        <f>L$5</f>
        <v> Date</v>
      </c>
      <c r="M274" s="826">
        <f>M$5</f>
        <v>39305</v>
      </c>
      <c r="N274" s="827"/>
      <c r="O274" s="375"/>
    </row>
    <row r="275" spans="1:15" ht="12.75">
      <c r="A275" s="375"/>
      <c r="B275" s="562"/>
      <c r="C275" s="562"/>
      <c r="D275" s="562"/>
      <c r="E275" s="562"/>
      <c r="F275" s="562"/>
      <c r="G275" s="562"/>
      <c r="H275" s="562"/>
      <c r="I275" s="562"/>
      <c r="J275" s="562"/>
      <c r="K275" s="562"/>
      <c r="L275" s="562"/>
      <c r="M275" s="562"/>
      <c r="N275" s="562"/>
      <c r="O275" s="375"/>
    </row>
    <row r="276" spans="1:15" ht="12.75">
      <c r="A276" s="375"/>
      <c r="B276" s="562"/>
      <c r="C276" s="562"/>
      <c r="D276" s="562"/>
      <c r="E276" s="562"/>
      <c r="F276" s="562"/>
      <c r="G276" s="562"/>
      <c r="H276" s="562"/>
      <c r="I276" s="562"/>
      <c r="J276" s="562"/>
      <c r="K276" s="562"/>
      <c r="L276" s="562"/>
      <c r="M276" s="562"/>
      <c r="N276" s="562"/>
      <c r="O276" s="375"/>
    </row>
    <row r="277" spans="1:15" ht="15.75">
      <c r="A277" s="375"/>
      <c r="B277" s="730" t="s">
        <v>62</v>
      </c>
      <c r="C277" s="570"/>
      <c r="D277" s="591" t="s">
        <v>27</v>
      </c>
      <c r="E277" s="592" t="s">
        <v>213</v>
      </c>
      <c r="F277" s="592" t="s">
        <v>209</v>
      </c>
      <c r="G277" s="592" t="s">
        <v>213</v>
      </c>
      <c r="H277" s="592" t="s">
        <v>210</v>
      </c>
      <c r="I277" s="592" t="s">
        <v>213</v>
      </c>
      <c r="J277" s="593" t="s">
        <v>28</v>
      </c>
      <c r="K277" s="562"/>
      <c r="L277" s="562"/>
      <c r="M277" s="562"/>
      <c r="N277" s="562"/>
      <c r="O277" s="375"/>
    </row>
    <row r="278" spans="1:15" ht="15.75">
      <c r="A278" s="375"/>
      <c r="B278" s="566" t="s">
        <v>214</v>
      </c>
      <c r="C278" s="599" t="s">
        <v>215</v>
      </c>
      <c r="D278" s="578">
        <f>I138</f>
        <v>0</v>
      </c>
      <c r="E278" s="579"/>
      <c r="F278" s="579"/>
      <c r="G278" s="579"/>
      <c r="H278" s="579"/>
      <c r="I278" s="579"/>
      <c r="J278" s="580">
        <f>K138</f>
        <v>0</v>
      </c>
      <c r="K278" s="571"/>
      <c r="L278" s="571"/>
      <c r="M278" s="562"/>
      <c r="N278" s="562"/>
      <c r="O278" s="375"/>
    </row>
    <row r="279" spans="1:15" ht="15.75">
      <c r="A279" s="375"/>
      <c r="B279" s="566"/>
      <c r="C279" s="599" t="s">
        <v>216</v>
      </c>
      <c r="D279" s="581">
        <f>I139</f>
        <v>0</v>
      </c>
      <c r="E279" s="582"/>
      <c r="F279" s="582"/>
      <c r="G279" s="582"/>
      <c r="H279" s="582"/>
      <c r="I279" s="582"/>
      <c r="J279" s="583">
        <f>K139</f>
        <v>0</v>
      </c>
      <c r="K279" s="571"/>
      <c r="L279" s="571"/>
      <c r="M279" s="562"/>
      <c r="N279" s="562"/>
      <c r="O279" s="375"/>
    </row>
    <row r="280" spans="1:15" ht="15.75">
      <c r="A280" s="375"/>
      <c r="B280" s="566"/>
      <c r="C280" s="599" t="s">
        <v>217</v>
      </c>
      <c r="D280" s="581">
        <f>I140</f>
        <v>0</v>
      </c>
      <c r="E280" s="582"/>
      <c r="F280" s="600" t="s">
        <v>218</v>
      </c>
      <c r="G280" s="600"/>
      <c r="H280" s="600"/>
      <c r="I280" s="582"/>
      <c r="J280" s="583">
        <f>K140</f>
        <v>0</v>
      </c>
      <c r="K280" s="571"/>
      <c r="L280" s="571"/>
      <c r="M280" s="562"/>
      <c r="N280" s="562"/>
      <c r="O280" s="375"/>
    </row>
    <row r="281" spans="1:15" ht="15.75">
      <c r="A281" s="375"/>
      <c r="B281" s="566" t="s">
        <v>219</v>
      </c>
      <c r="C281" s="599" t="s">
        <v>215</v>
      </c>
      <c r="D281" s="581">
        <f>I155</f>
        <v>0</v>
      </c>
      <c r="E281" s="582"/>
      <c r="F281" s="82">
        <f>(MAIN!H36+MAIN!I36)*MAIN!I41+MAIN!J36*MAIN!I42</f>
        <v>0</v>
      </c>
      <c r="G281" s="83">
        <f aca="true" t="shared" si="17" ref="G281:H283">J128</f>
        <v>0</v>
      </c>
      <c r="H281" s="84">
        <f t="shared" si="17"/>
        <v>0</v>
      </c>
      <c r="I281" s="582"/>
      <c r="J281" s="583">
        <f>K155</f>
        <v>0</v>
      </c>
      <c r="K281" s="571"/>
      <c r="L281" s="571"/>
      <c r="M281" s="562"/>
      <c r="N281" s="562"/>
      <c r="O281" s="375"/>
    </row>
    <row r="282" spans="1:15" ht="15.75">
      <c r="A282" s="375"/>
      <c r="B282" s="566"/>
      <c r="C282" s="599" t="s">
        <v>216</v>
      </c>
      <c r="D282" s="581">
        <f>I156</f>
        <v>0</v>
      </c>
      <c r="E282" s="582"/>
      <c r="F282" s="85">
        <f>(MAIN!H36+MAIN!I36)*MAIN!H41</f>
        <v>0</v>
      </c>
      <c r="G282" s="86">
        <f t="shared" si="17"/>
        <v>0</v>
      </c>
      <c r="H282" s="87">
        <f t="shared" si="17"/>
        <v>0</v>
      </c>
      <c r="I282" s="582"/>
      <c r="J282" s="583">
        <f>K156</f>
        <v>0</v>
      </c>
      <c r="K282" s="571"/>
      <c r="L282" s="571"/>
      <c r="M282" s="562"/>
      <c r="N282" s="562"/>
      <c r="O282" s="375"/>
    </row>
    <row r="283" spans="1:15" ht="15.75">
      <c r="A283" s="375"/>
      <c r="B283" s="566"/>
      <c r="C283" s="599" t="s">
        <v>217</v>
      </c>
      <c r="D283" s="581">
        <f>I157</f>
        <v>0</v>
      </c>
      <c r="E283" s="582"/>
      <c r="F283" s="88">
        <f>F281</f>
        <v>0</v>
      </c>
      <c r="G283" s="89">
        <f t="shared" si="17"/>
        <v>0</v>
      </c>
      <c r="H283" s="90">
        <f t="shared" si="17"/>
        <v>0</v>
      </c>
      <c r="I283" s="582"/>
      <c r="J283" s="583">
        <f>K157</f>
        <v>0</v>
      </c>
      <c r="K283" s="571"/>
      <c r="L283" s="571"/>
      <c r="M283" s="562"/>
      <c r="N283" s="562"/>
      <c r="O283" s="375"/>
    </row>
    <row r="284" spans="1:15" ht="15.75">
      <c r="A284" s="375"/>
      <c r="B284" s="566" t="s">
        <v>220</v>
      </c>
      <c r="C284" s="599" t="s">
        <v>215</v>
      </c>
      <c r="D284" s="581"/>
      <c r="E284" s="582" t="e">
        <f>MAX(0,D278/F281)</f>
        <v>#DIV/0!</v>
      </c>
      <c r="F284" s="582">
        <f>MAIN!K37</f>
        <v>0</v>
      </c>
      <c r="G284" s="582" t="e">
        <f>MIN((D278-G281)/F281,MAIN!C$23)</f>
        <v>#DIV/0!</v>
      </c>
      <c r="H284" s="582">
        <f>MAIN!K38</f>
        <v>0</v>
      </c>
      <c r="I284" s="582" t="e">
        <f>MIN((D278-G281-H281)/F281,MAIN!C$23)</f>
        <v>#DIV/0!</v>
      </c>
      <c r="J284" s="583"/>
      <c r="K284" s="571"/>
      <c r="L284" s="571"/>
      <c r="M284" s="562"/>
      <c r="N284" s="562"/>
      <c r="O284" s="375"/>
    </row>
    <row r="285" spans="1:15" ht="15.75">
      <c r="A285" s="375"/>
      <c r="B285" s="566"/>
      <c r="C285" s="599" t="s">
        <v>216</v>
      </c>
      <c r="D285" s="581"/>
      <c r="E285" s="582" t="e">
        <f>MAX(0,D279/F282)</f>
        <v>#DIV/0!</v>
      </c>
      <c r="F285" s="582">
        <f>F284</f>
        <v>0</v>
      </c>
      <c r="G285" s="582" t="e">
        <f>MIN((D279-G282)/F282,MAIN!C$23)</f>
        <v>#DIV/0!</v>
      </c>
      <c r="H285" s="582">
        <f>H284</f>
        <v>0</v>
      </c>
      <c r="I285" s="582" t="e">
        <f>MIN((D279-G282-H282)/F282,MAIN!C$23)</f>
        <v>#DIV/0!</v>
      </c>
      <c r="J285" s="583"/>
      <c r="K285" s="571"/>
      <c r="L285" s="571"/>
      <c r="M285" s="562"/>
      <c r="N285" s="562"/>
      <c r="O285" s="375"/>
    </row>
    <row r="286" spans="1:15" ht="15.75">
      <c r="A286" s="375"/>
      <c r="B286" s="566"/>
      <c r="C286" s="599" t="s">
        <v>217</v>
      </c>
      <c r="D286" s="581"/>
      <c r="E286" s="582" t="e">
        <f>MAX(0,D280/F283)</f>
        <v>#DIV/0!</v>
      </c>
      <c r="F286" s="582">
        <f>F284</f>
        <v>0</v>
      </c>
      <c r="G286" s="582" t="e">
        <f>MIN((D280-G283)/F283,MAIN!C$23)</f>
        <v>#DIV/0!</v>
      </c>
      <c r="H286" s="582">
        <f>H284</f>
        <v>0</v>
      </c>
      <c r="I286" s="582" t="e">
        <f>MIN((D280-G283-H283)/F283,MAIN!C$23)</f>
        <v>#DIV/0!</v>
      </c>
      <c r="J286" s="583"/>
      <c r="K286" s="571"/>
      <c r="L286" s="571"/>
      <c r="M286" s="562"/>
      <c r="N286" s="562"/>
      <c r="O286" s="375"/>
    </row>
    <row r="287" spans="1:15" ht="15.75">
      <c r="A287" s="375"/>
      <c r="B287" s="566" t="s">
        <v>221</v>
      </c>
      <c r="C287" s="599" t="s">
        <v>215</v>
      </c>
      <c r="D287" s="581"/>
      <c r="E287" s="582" t="e">
        <f>MAX(0,D281/F281)</f>
        <v>#DIV/0!</v>
      </c>
      <c r="F287" s="582">
        <f>F286</f>
        <v>0</v>
      </c>
      <c r="G287" s="582" t="e">
        <f>MIN((D281-G281)/F281,MAIN!C$23)</f>
        <v>#DIV/0!</v>
      </c>
      <c r="H287" s="582">
        <f>H286</f>
        <v>0</v>
      </c>
      <c r="I287" s="582" t="e">
        <f>MIN((D281-G281-H281)/F281,MAIN!C$23)</f>
        <v>#DIV/0!</v>
      </c>
      <c r="J287" s="583"/>
      <c r="K287" s="571"/>
      <c r="L287" s="571"/>
      <c r="M287" s="562"/>
      <c r="N287" s="562"/>
      <c r="O287" s="375"/>
    </row>
    <row r="288" spans="1:15" ht="15.75">
      <c r="A288" s="375"/>
      <c r="B288" s="566"/>
      <c r="C288" s="599" t="s">
        <v>216</v>
      </c>
      <c r="D288" s="581"/>
      <c r="E288" s="582" t="e">
        <f>MAX(0,D282/F282)</f>
        <v>#DIV/0!</v>
      </c>
      <c r="F288" s="582">
        <f>F287</f>
        <v>0</v>
      </c>
      <c r="G288" s="582" t="e">
        <f>MIN((D282-G282)/F282,MAIN!C$23)</f>
        <v>#DIV/0!</v>
      </c>
      <c r="H288" s="582">
        <f>H287</f>
        <v>0</v>
      </c>
      <c r="I288" s="582" t="e">
        <f>MIN((D282-G282-H282)/F282,MAIN!C$23)</f>
        <v>#DIV/0!</v>
      </c>
      <c r="J288" s="583"/>
      <c r="K288" s="601" t="s">
        <v>222</v>
      </c>
      <c r="L288" s="602"/>
      <c r="M288" s="562"/>
      <c r="N288" s="562"/>
      <c r="O288" s="375"/>
    </row>
    <row r="289" spans="1:15" ht="15.75">
      <c r="A289" s="375"/>
      <c r="B289" s="566"/>
      <c r="C289" s="599" t="s">
        <v>217</v>
      </c>
      <c r="D289" s="581"/>
      <c r="E289" s="582" t="e">
        <f>MAX(0,D283/F283)</f>
        <v>#DIV/0!</v>
      </c>
      <c r="F289" s="582">
        <f>F288</f>
        <v>0</v>
      </c>
      <c r="G289" s="582" t="e">
        <f>MIN((D283-G283)/F283,MAIN!C$23)</f>
        <v>#DIV/0!</v>
      </c>
      <c r="H289" s="582">
        <f>H288</f>
        <v>0</v>
      </c>
      <c r="I289" s="582" t="e">
        <f>MIN((D283-G283-H283)/F283,MAIN!C$23)</f>
        <v>#DIV/0!</v>
      </c>
      <c r="J289" s="583"/>
      <c r="K289" s="572" t="s">
        <v>223</v>
      </c>
      <c r="L289" s="603"/>
      <c r="M289" s="562"/>
      <c r="N289" s="562"/>
      <c r="O289" s="375"/>
    </row>
    <row r="290" spans="1:15" ht="15.75">
      <c r="A290" s="375"/>
      <c r="B290" s="566" t="s">
        <v>224</v>
      </c>
      <c r="C290" s="599" t="s">
        <v>215</v>
      </c>
      <c r="D290" s="581">
        <f aca="true" t="shared" si="18" ref="D290:D295">J265</f>
        <v>0</v>
      </c>
      <c r="E290" s="582" t="e">
        <f>IF(E284&gt;F284,0,D278*E284-F281*E284^2/2-D290)</f>
        <v>#DIV/0!</v>
      </c>
      <c r="F290" s="582">
        <f>D278*F284-F281*F284^2/2-D290</f>
        <v>0</v>
      </c>
      <c r="G290" s="582" t="e">
        <f>IF(F284&gt;G284,0,D278*G284-F281*G284^2/2-G281*(G284-F284)-D290)</f>
        <v>#DIV/0!</v>
      </c>
      <c r="H290" s="582">
        <f>D278*H284-F281*H284^2/2-G281*(H284-F284)-D290</f>
        <v>0</v>
      </c>
      <c r="I290" s="582" t="e">
        <f>IF(I284&lt;H284,0,D278*I284-F281*I284^2/2-G281*(I284-F284)-H281*(I284-H284)-D290)</f>
        <v>#DIV/0!</v>
      </c>
      <c r="J290" s="583">
        <f>I106</f>
        <v>0</v>
      </c>
      <c r="K290" s="604" t="e">
        <f>MAX(E290:I290)</f>
        <v>#DIV/0!</v>
      </c>
      <c r="L290" s="605"/>
      <c r="M290" s="562"/>
      <c r="N290" s="562"/>
      <c r="O290" s="375"/>
    </row>
    <row r="291" spans="1:15" ht="15.75">
      <c r="A291" s="375"/>
      <c r="B291" s="566"/>
      <c r="C291" s="599" t="s">
        <v>216</v>
      </c>
      <c r="D291" s="581">
        <f t="shared" si="18"/>
        <v>0</v>
      </c>
      <c r="E291" s="582" t="e">
        <f>IF(E285&gt;F285,0,D279*E285-F282*E285^2/2-D291)</f>
        <v>#DIV/0!</v>
      </c>
      <c r="F291" s="582">
        <f>D279*F285-F282*F285^2/2-D291</f>
        <v>0</v>
      </c>
      <c r="G291" s="582" t="e">
        <f>IF(F285&gt;G285,0,D279*G285-F282*G285^2/2-G282*(G285-F285)-D291)</f>
        <v>#DIV/0!</v>
      </c>
      <c r="H291" s="582">
        <f>D279*H285-F282*H285^2/2-G282*(H285-F285)-D291</f>
        <v>0</v>
      </c>
      <c r="I291" s="582" t="e">
        <f>IF(I285&lt;H285,0,D279*I285-F282*I285^2/2-G282*(I285-F285)-H282*(I285-H285)-D291)</f>
        <v>#DIV/0!</v>
      </c>
      <c r="J291" s="583">
        <f>I107</f>
        <v>0</v>
      </c>
      <c r="K291" s="604" t="e">
        <f>MAX(E291:I291)</f>
        <v>#DIV/0!</v>
      </c>
      <c r="L291" s="605"/>
      <c r="M291" s="562"/>
      <c r="N291" s="562"/>
      <c r="O291" s="375"/>
    </row>
    <row r="292" spans="1:15" ht="15">
      <c r="A292" s="375"/>
      <c r="B292" s="566"/>
      <c r="C292" s="599" t="s">
        <v>217</v>
      </c>
      <c r="D292" s="581">
        <f t="shared" si="18"/>
        <v>0</v>
      </c>
      <c r="E292" s="582" t="e">
        <f>IF(E286&gt;F286,0,D280*E286-F283*E286^2/2-D292)</f>
        <v>#DIV/0!</v>
      </c>
      <c r="F292" s="582">
        <f>D280*F286-F283*F286^2/2-D292</f>
        <v>0</v>
      </c>
      <c r="G292" s="582" t="e">
        <f>IF(F286&gt;G286,0,D280*G286-F283*G286^2/2-G283*(G286-F286)-D292)</f>
        <v>#DIV/0!</v>
      </c>
      <c r="H292" s="582">
        <f>D280*H286-F283*H286^2/2-G283*(H286-F286)-D292</f>
        <v>0</v>
      </c>
      <c r="I292" s="582" t="e">
        <f>IF(I286&lt;H286,0,D280*I286-F283*I286^2/2-G283*(I286-F286)-H283*(I286-H286)-D292)</f>
        <v>#DIV/0!</v>
      </c>
      <c r="J292" s="583">
        <f>I108</f>
        <v>0</v>
      </c>
      <c r="K292" s="604" t="e">
        <f>MAX(E292:I292)</f>
        <v>#DIV/0!</v>
      </c>
      <c r="L292" s="606" t="s">
        <v>106</v>
      </c>
      <c r="M292" s="562"/>
      <c r="N292" s="562"/>
      <c r="O292" s="375"/>
    </row>
    <row r="293" spans="1:15" ht="15">
      <c r="A293" s="375"/>
      <c r="B293" s="566" t="s">
        <v>225</v>
      </c>
      <c r="C293" s="599" t="s">
        <v>215</v>
      </c>
      <c r="D293" s="581">
        <f t="shared" si="18"/>
        <v>0</v>
      </c>
      <c r="E293" s="582" t="e">
        <f>IF(E287&gt;F287,0,D281*E287-F281*E287^2/2-D293)</f>
        <v>#DIV/0!</v>
      </c>
      <c r="F293" s="582">
        <f>D281*F287-F281*F287^2/2-D293</f>
        <v>0</v>
      </c>
      <c r="G293" s="582" t="e">
        <f>IF(F287&gt;G287,0,D281*G287-F281*G287^2/2-G281*(G287-F287)-D293)</f>
        <v>#DIV/0!</v>
      </c>
      <c r="H293" s="582">
        <f>D281*H287-F281*H287^2/2-G281*(H287-F287)-D293</f>
        <v>0</v>
      </c>
      <c r="I293" s="582" t="e">
        <f>IF(I287&lt;H287,0,D281*I287-F281*I287^2/2-G281*(I287-F287)-H281*(I287-H287)-D293)</f>
        <v>#DIV/0!</v>
      </c>
      <c r="J293" s="583">
        <f>I115</f>
        <v>0</v>
      </c>
      <c r="K293" s="604" t="e">
        <f>MAX(E293:I293,0.7*K290)</f>
        <v>#DIV/0!</v>
      </c>
      <c r="L293" s="607" t="e">
        <f>IF(K290=0,0,K293/K290)</f>
        <v>#DIV/0!</v>
      </c>
      <c r="M293" s="562"/>
      <c r="N293" s="562"/>
      <c r="O293" s="375"/>
    </row>
    <row r="294" spans="1:15" ht="15">
      <c r="A294" s="375"/>
      <c r="B294" s="566"/>
      <c r="C294" s="599" t="s">
        <v>216</v>
      </c>
      <c r="D294" s="581">
        <f t="shared" si="18"/>
        <v>0</v>
      </c>
      <c r="E294" s="582" t="e">
        <f>IF(E288&gt;F288,0,D282*E288-F282*E288^2/2-D294)</f>
        <v>#DIV/0!</v>
      </c>
      <c r="F294" s="582">
        <f>D282*F288-F282*F288^2/2-D294</f>
        <v>0</v>
      </c>
      <c r="G294" s="582" t="e">
        <f>IF(F288&gt;G288,0,D282*G288-F282*G288^2/2-G282*(G288-F288)-D294)</f>
        <v>#DIV/0!</v>
      </c>
      <c r="H294" s="582">
        <f>D282*H288-F282*H288^2/2-G282*(H288-F288)-D294</f>
        <v>0</v>
      </c>
      <c r="I294" s="582" t="e">
        <f>IF(I288&lt;H288,0,D282*I288-F282*I288^2/2-G282*(I288-F288)-H282*(I288-H288)-D294)</f>
        <v>#DIV/0!</v>
      </c>
      <c r="J294" s="583">
        <f>I116</f>
        <v>0</v>
      </c>
      <c r="K294" s="604" t="e">
        <f>MAX(E294:I294,0.7*K291)</f>
        <v>#DIV/0!</v>
      </c>
      <c r="L294" s="607" t="e">
        <f>IF(K291=0,0,K294/K291)</f>
        <v>#DIV/0!</v>
      </c>
      <c r="M294" s="562"/>
      <c r="N294" s="562"/>
      <c r="O294" s="375"/>
    </row>
    <row r="295" spans="1:15" ht="15">
      <c r="A295" s="375"/>
      <c r="B295" s="566"/>
      <c r="C295" s="599" t="s">
        <v>217</v>
      </c>
      <c r="D295" s="584">
        <f t="shared" si="18"/>
        <v>0</v>
      </c>
      <c r="E295" s="585" t="e">
        <f>IF(E289&gt;F289,0,D283*E289-F283*E289^2/2-D295)</f>
        <v>#DIV/0!</v>
      </c>
      <c r="F295" s="585">
        <f>D283*F289-F283*F289^2/2-D295</f>
        <v>0</v>
      </c>
      <c r="G295" s="585" t="e">
        <f>IF(F289&gt;G289,0,D283*G289-F283*G289^2/2-G283*(G289-F289)-D295)</f>
        <v>#DIV/0!</v>
      </c>
      <c r="H295" s="585">
        <f>D283*H289-F283*H289^2/2-G283*(H289-F289)-D295</f>
        <v>0</v>
      </c>
      <c r="I295" s="585" t="e">
        <f>IF(I289&lt;H289,0,D283*I289-F283*I289^2/2-G283*(I289-F289)-H283*(I289-H289)-D295)</f>
        <v>#DIV/0!</v>
      </c>
      <c r="J295" s="586">
        <f>I117</f>
        <v>0</v>
      </c>
      <c r="K295" s="608" t="e">
        <f>MAX(E295:I295,0.7*K292)</f>
        <v>#DIV/0!</v>
      </c>
      <c r="L295" s="609" t="e">
        <f>IF(K292=0,0,K295/K292)</f>
        <v>#DIV/0!</v>
      </c>
      <c r="M295" s="562"/>
      <c r="N295" s="562"/>
      <c r="O295" s="375"/>
    </row>
    <row r="296" spans="1:15" ht="18">
      <c r="A296" s="375"/>
      <c r="B296" s="731" t="s">
        <v>387</v>
      </c>
      <c r="C296" s="599" t="s">
        <v>388</v>
      </c>
      <c r="D296" s="562"/>
      <c r="E296" s="562"/>
      <c r="F296" s="562"/>
      <c r="G296" s="562"/>
      <c r="H296" s="562"/>
      <c r="I296" s="562"/>
      <c r="J296" s="562"/>
      <c r="K296" s="562"/>
      <c r="L296" s="562"/>
      <c r="M296" s="562"/>
      <c r="N296" s="562"/>
      <c r="O296" s="375"/>
    </row>
    <row r="297" spans="1:15" ht="14.25">
      <c r="A297" s="375"/>
      <c r="B297" s="562"/>
      <c r="C297" s="562"/>
      <c r="D297" s="610">
        <v>1</v>
      </c>
      <c r="E297" s="588">
        <v>2</v>
      </c>
      <c r="F297" s="588">
        <v>3</v>
      </c>
      <c r="G297" s="588">
        <v>4</v>
      </c>
      <c r="H297" s="588">
        <v>5</v>
      </c>
      <c r="I297" s="611">
        <v>6</v>
      </c>
      <c r="J297" s="562"/>
      <c r="K297" s="562"/>
      <c r="L297" s="562"/>
      <c r="M297" s="562"/>
      <c r="N297" s="562"/>
      <c r="O297" s="375"/>
    </row>
    <row r="298" spans="1:15" ht="15">
      <c r="A298" s="375"/>
      <c r="B298" s="562"/>
      <c r="C298" s="599" t="s">
        <v>54</v>
      </c>
      <c r="D298" s="612">
        <f>(D10+D11)*1.4+MAIN!E28*1.6</f>
        <v>15.486</v>
      </c>
      <c r="E298" s="613">
        <f>(E10+E11)*1.4+MAIN!E32*1.6</f>
        <v>15.486</v>
      </c>
      <c r="F298" s="613">
        <f>(F10+F11)*1.4+MAIN!E36*1.6</f>
        <v>15.486</v>
      </c>
      <c r="G298" s="613">
        <f>(G10+G11)*1.4+MAIN!J28*1.6</f>
        <v>0</v>
      </c>
      <c r="H298" s="613">
        <f>(H10+H11)*1.4+MAIN!J32*1.6</f>
        <v>0</v>
      </c>
      <c r="I298" s="614">
        <f>(I10+I11)*1.4+MAIN!J36*1.6</f>
        <v>0</v>
      </c>
      <c r="J298" s="562"/>
      <c r="K298" s="562"/>
      <c r="L298" s="562"/>
      <c r="M298" s="562"/>
      <c r="N298" s="562"/>
      <c r="O298" s="375"/>
    </row>
    <row r="299" spans="1:15" ht="15">
      <c r="A299" s="375"/>
      <c r="B299" s="562"/>
      <c r="C299" s="599" t="s">
        <v>389</v>
      </c>
      <c r="D299" s="612">
        <f>IF(MAIN!F29*1000&gt;MAIN!E18,0,1.4*MAIN!D29+1.6*MAIN!E29)</f>
        <v>0</v>
      </c>
      <c r="E299" s="613">
        <f>IF(MAIN!F33*1000&gt;MAIN!E19,0,1.4*MAIN!D33+1.6*MAIN!E33)</f>
        <v>0</v>
      </c>
      <c r="F299" s="613">
        <f>IF(MAIN!F37*1000&gt;MAIN!E20,0,1.4*MAIN!D37+1.6*MAIN!E37)</f>
        <v>0</v>
      </c>
      <c r="G299" s="613">
        <f>IF(MAIN!K29*1000&gt;MAIN!E21,0,1.4*MAIN!I29+1.6*MAIN!J29)</f>
        <v>0</v>
      </c>
      <c r="H299" s="613">
        <f>IF(MAIN!K33*1000&gt;MAIN!E22,0,1.4*MAIN!I33+1.6*MAIN!J33)</f>
        <v>0</v>
      </c>
      <c r="I299" s="614">
        <f>IF(MAIN!K37*1000&gt;MAIN!E23,0,1.4*MAIN!I37+1.6*MAIN!J37)</f>
        <v>0</v>
      </c>
      <c r="J299" s="562"/>
      <c r="K299" s="562"/>
      <c r="L299" s="562"/>
      <c r="M299" s="562"/>
      <c r="N299" s="562"/>
      <c r="O299" s="375"/>
    </row>
    <row r="300" spans="1:15" ht="15">
      <c r="A300" s="375"/>
      <c r="B300" s="562"/>
      <c r="C300" s="599" t="s">
        <v>390</v>
      </c>
      <c r="D300" s="612">
        <f>IF(MAIN!F30*1000&lt;1000*MAIN!C18-MAIN!F18,0,1.4*MAIN!D30+1.6*MAIN!E30)</f>
        <v>0</v>
      </c>
      <c r="E300" s="613">
        <f>IF(MAIN!F34*1000&lt;1000*MAIN!C19-MAIN!F19,0,1.4*MAIN!D34+1.6*MAIN!E34)</f>
        <v>0</v>
      </c>
      <c r="F300" s="613">
        <f>IF(MAIN!F38*1000&lt;1000*MAIN!C20-MAIN!F20,0,1.4*MAIN!D38+1.6*MAIN!E38)</f>
        <v>0</v>
      </c>
      <c r="G300" s="613">
        <f>IF(MAIN!K30*1000&lt;1000*MAIN!C21-MAIN!F21,0,1.4*MAIN!I30+1.6*MAIN!J30)</f>
        <v>0</v>
      </c>
      <c r="H300" s="613">
        <f>IF(MAIN!K34*1000&lt;1000*MAIN!C22-MAIN!F22,0,1.4*MAIN!I34+1.6*MAIN!J34)</f>
        <v>0</v>
      </c>
      <c r="I300" s="614">
        <f>IF(MAIN!K38*1000&lt;1000*MAIN!C23-MAIN!F23,0,1.4*MAIN!I38+1.6*MAIN!J38)</f>
        <v>0</v>
      </c>
      <c r="J300" s="562"/>
      <c r="K300" s="562"/>
      <c r="L300" s="562"/>
      <c r="M300" s="562"/>
      <c r="N300" s="562"/>
      <c r="O300" s="375"/>
    </row>
    <row r="301" spans="1:15" ht="12.75">
      <c r="A301" s="375"/>
      <c r="B301" s="562"/>
      <c r="C301" s="562"/>
      <c r="D301" s="562"/>
      <c r="E301" s="562"/>
      <c r="F301" s="562"/>
      <c r="G301" s="562"/>
      <c r="H301" s="562"/>
      <c r="I301" s="562"/>
      <c r="J301" s="562"/>
      <c r="K301" s="562"/>
      <c r="L301" s="562"/>
      <c r="M301" s="562"/>
      <c r="N301" s="562"/>
      <c r="O301" s="375"/>
    </row>
    <row r="302" spans="1:15" ht="12.75">
      <c r="A302" s="375"/>
      <c r="B302" s="375"/>
      <c r="C302" s="375"/>
      <c r="D302" s="375"/>
      <c r="E302" s="375"/>
      <c r="F302" s="375"/>
      <c r="G302" s="375"/>
      <c r="H302" s="375"/>
      <c r="I302" s="375"/>
      <c r="J302" s="375"/>
      <c r="K302" s="375"/>
      <c r="L302" s="375"/>
      <c r="M302" s="375"/>
      <c r="N302" s="375"/>
      <c r="O302" s="375"/>
    </row>
    <row r="303" spans="1:15" ht="12.75">
      <c r="A303" s="375"/>
      <c r="B303" s="375"/>
      <c r="C303" s="375"/>
      <c r="D303" s="375"/>
      <c r="E303" s="375"/>
      <c r="F303" s="375"/>
      <c r="G303" s="375"/>
      <c r="H303" s="375"/>
      <c r="I303" s="375"/>
      <c r="J303" s="375"/>
      <c r="K303" s="375"/>
      <c r="L303" s="375"/>
      <c r="M303" s="375"/>
      <c r="N303" s="375"/>
      <c r="O303" s="375"/>
    </row>
  </sheetData>
  <sheetProtection sheet="1" objects="1" scenarios="1"/>
  <mergeCells count="5">
    <mergeCell ref="M274:N274"/>
    <mergeCell ref="M5:N5"/>
    <mergeCell ref="M70:N70"/>
    <mergeCell ref="M144:N144"/>
    <mergeCell ref="M209:N209"/>
  </mergeCells>
  <printOptions horizontalCentered="1"/>
  <pageMargins left="0.6299212598425197" right="0.3937007874015748" top="0.4724409448818898" bottom="0.4724409448818898" header="0" footer="0"/>
  <pageSetup fitToHeight="4" horizontalDpi="300" verticalDpi="300" orientation="portrait" paperSize="9" scale="64" r:id="rId2"/>
  <rowBreaks count="4" manualBreakCount="4">
    <brk id="66" min="1" max="13" man="1"/>
    <brk id="140" min="1" max="13" man="1"/>
    <brk id="205" min="1" max="13" man="1"/>
    <brk id="270" min="1" max="13" man="1"/>
  </rowBreaks>
  <drawing r:id="rId1"/>
</worksheet>
</file>

<file path=xl/worksheets/sheet6.xml><?xml version="1.0" encoding="utf-8"?>
<worksheet xmlns="http://schemas.openxmlformats.org/spreadsheetml/2006/main" xmlns:r="http://schemas.openxmlformats.org/officeDocument/2006/relationships">
  <sheetPr codeName="Sheet6"/>
  <dimension ref="A1:R591"/>
  <sheetViews>
    <sheetView showGridLines="0" zoomScale="75" zoomScaleNormal="75" workbookViewId="0" topLeftCell="A1">
      <selection activeCell="A1" sqref="A1"/>
    </sheetView>
  </sheetViews>
  <sheetFormatPr defaultColWidth="9.140625" defaultRowHeight="12.75"/>
  <cols>
    <col min="1" max="1" width="4.421875" style="0" customWidth="1"/>
    <col min="2" max="2" width="25.421875" style="0" customWidth="1"/>
    <col min="3" max="3" width="11.7109375" style="0" customWidth="1"/>
    <col min="4" max="4" width="10.28125" style="5" customWidth="1"/>
    <col min="5" max="5" width="19.00390625" style="0" customWidth="1"/>
    <col min="6" max="6" width="10.28125" style="0" customWidth="1"/>
    <col min="7" max="7" width="19.00390625" style="0" customWidth="1"/>
    <col min="8" max="8" width="10.28125" style="0" customWidth="1"/>
    <col min="9" max="9" width="19.00390625" style="0" customWidth="1"/>
    <col min="10" max="10" width="13.140625" style="5" customWidth="1"/>
    <col min="11" max="11" width="40.57421875" style="0" customWidth="1"/>
  </cols>
  <sheetData>
    <row r="1" spans="1:11" ht="16.5" thickBot="1">
      <c r="A1" s="375"/>
      <c r="B1" s="375"/>
      <c r="C1" s="375"/>
      <c r="D1" s="696"/>
      <c r="E1" s="375"/>
      <c r="F1" s="375"/>
      <c r="G1" s="375"/>
      <c r="H1" s="375"/>
      <c r="I1" s="375"/>
      <c r="J1" s="696"/>
      <c r="K1" s="375"/>
    </row>
    <row r="2" spans="1:11" ht="18">
      <c r="A2" s="465"/>
      <c r="B2" s="539" t="str">
        <f>MAIN!B2</f>
        <v> Project</v>
      </c>
      <c r="C2" s="540" t="str">
        <f>MAIN!C2</f>
        <v>Spreadsheets to BS 8110</v>
      </c>
      <c r="D2" s="542"/>
      <c r="E2" s="542"/>
      <c r="F2" s="542"/>
      <c r="G2" s="541"/>
      <c r="H2" s="542"/>
      <c r="I2" s="542"/>
      <c r="J2" s="615"/>
      <c r="K2" s="465"/>
    </row>
    <row r="3" spans="1:11" ht="18">
      <c r="A3" s="465"/>
      <c r="B3" s="543" t="str">
        <f>MAIN!B4</f>
        <v> Location</v>
      </c>
      <c r="C3" s="544" t="str">
        <f>ACTIONS!$C$4</f>
        <v>3rd Floor slab,  from 1 to 5a</v>
      </c>
      <c r="D3" s="545"/>
      <c r="E3" s="545"/>
      <c r="F3" s="545"/>
      <c r="G3" s="736" t="s">
        <v>406</v>
      </c>
      <c r="H3" s="545"/>
      <c r="I3" s="545"/>
      <c r="J3" s="616"/>
      <c r="K3" s="465"/>
    </row>
    <row r="4" spans="1:11" ht="15.75">
      <c r="A4" s="465"/>
      <c r="B4" s="546"/>
      <c r="C4" s="547" t="str">
        <f>MAIN!C5</f>
        <v>RIBBED SLABS to BS 8110:1997 (Analysis &amp; Design)</v>
      </c>
      <c r="D4" s="545"/>
      <c r="E4" s="545"/>
      <c r="F4" s="545"/>
      <c r="G4" s="122"/>
      <c r="H4" s="122"/>
      <c r="I4" s="122"/>
      <c r="J4" s="768" t="str">
        <f>ACTIONS!$I$3&amp;"  "&amp;ACTIONS!$I$4&amp;"    "&amp;ACTIONS!$K$5&amp;"  "&amp;ACTIONS!K6</f>
        <v>Made by  rmw    Job No  R68</v>
      </c>
      <c r="K4" s="465"/>
    </row>
    <row r="5" spans="1:11" ht="16.5" thickBot="1">
      <c r="A5" s="465"/>
      <c r="B5" s="549"/>
      <c r="C5" s="550" t="str">
        <f>MAIN!D6&amp;MAIN!E6</f>
        <v>Originated from  RCC32.xls v2.2 on CD               © 2000-2003 BCA for RCC</v>
      </c>
      <c r="D5" s="552"/>
      <c r="E5" s="552"/>
      <c r="F5" s="552"/>
      <c r="G5" s="551"/>
      <c r="H5" s="551"/>
      <c r="I5" s="553" t="str">
        <f>MAIN!J3</f>
        <v> Date</v>
      </c>
      <c r="J5" s="769">
        <f>MAIN!J4</f>
        <v>39305</v>
      </c>
      <c r="K5" s="465"/>
    </row>
    <row r="6" spans="1:11" ht="15.75">
      <c r="A6" s="465"/>
      <c r="B6" s="661"/>
      <c r="C6" s="554"/>
      <c r="D6" s="545"/>
      <c r="E6" s="545"/>
      <c r="F6" s="545"/>
      <c r="G6" s="122"/>
      <c r="H6" s="122"/>
      <c r="I6" s="548"/>
      <c r="J6" s="660"/>
      <c r="K6" s="465"/>
    </row>
    <row r="7" spans="1:11" ht="19.5">
      <c r="A7" s="465"/>
      <c r="B7" s="743" t="s">
        <v>226</v>
      </c>
      <c r="C7" s="744"/>
      <c r="D7" s="745" t="s">
        <v>227</v>
      </c>
      <c r="E7" s="746">
        <v>1</v>
      </c>
      <c r="F7" s="635" t="s">
        <v>228</v>
      </c>
      <c r="G7" s="636">
        <f>MAIN!C18</f>
        <v>2</v>
      </c>
      <c r="H7" s="380" t="s">
        <v>229</v>
      </c>
      <c r="I7" s="381">
        <f>MAIN!D18</f>
        <v>275</v>
      </c>
      <c r="J7" s="755"/>
      <c r="K7" s="465"/>
    </row>
    <row r="8" spans="1:11" ht="19.5">
      <c r="A8" s="465"/>
      <c r="B8" s="376"/>
      <c r="C8" s="377"/>
      <c r="D8" s="378"/>
      <c r="E8" s="379"/>
      <c r="F8" s="379"/>
      <c r="G8" s="379"/>
      <c r="H8" s="380" t="s">
        <v>230</v>
      </c>
      <c r="I8" s="381">
        <f>Analysis!D8</f>
        <v>167.5</v>
      </c>
      <c r="J8" s="750" t="s">
        <v>231</v>
      </c>
      <c r="K8" s="465"/>
    </row>
    <row r="9" spans="1:11" ht="15.75">
      <c r="A9" s="465"/>
      <c r="B9" s="382" t="s">
        <v>232</v>
      </c>
      <c r="C9" s="377"/>
      <c r="D9" s="383"/>
      <c r="E9" s="474" t="s">
        <v>101</v>
      </c>
      <c r="F9" s="475"/>
      <c r="G9" s="474" t="s">
        <v>227</v>
      </c>
      <c r="H9" s="475"/>
      <c r="I9" s="474" t="s">
        <v>103</v>
      </c>
      <c r="J9" s="750" t="s">
        <v>233</v>
      </c>
      <c r="K9" s="465"/>
    </row>
    <row r="10" spans="1:11" ht="15.75">
      <c r="A10" s="465"/>
      <c r="B10" s="384" t="s">
        <v>106</v>
      </c>
      <c r="C10" s="385"/>
      <c r="D10" s="386"/>
      <c r="E10" s="91">
        <f>ACTIONS!$D25</f>
        <v>1</v>
      </c>
      <c r="F10" s="387"/>
      <c r="G10" s="91">
        <f>ACTIONS!D31</f>
        <v>1</v>
      </c>
      <c r="H10" s="387"/>
      <c r="I10" s="91">
        <f>ACTIONS!E25</f>
        <v>1</v>
      </c>
      <c r="J10" s="759"/>
      <c r="K10" s="466"/>
    </row>
    <row r="11" spans="1:16" ht="15.75">
      <c r="A11" s="465"/>
      <c r="B11" s="384" t="s">
        <v>234</v>
      </c>
      <c r="C11" s="385" t="s">
        <v>87</v>
      </c>
      <c r="D11" s="386"/>
      <c r="E11" s="92">
        <f>ACTIONS!D24</f>
        <v>0</v>
      </c>
      <c r="F11" s="388"/>
      <c r="G11" s="92">
        <f>ACTIONS!D30</f>
        <v>0</v>
      </c>
      <c r="H11" s="388"/>
      <c r="I11" s="92">
        <f>ACTIONS!E24</f>
        <v>35.8543425</v>
      </c>
      <c r="J11" s="759"/>
      <c r="K11" s="467"/>
      <c r="N11" s="48"/>
      <c r="O11" s="48"/>
      <c r="P11" s="48"/>
    </row>
    <row r="12" spans="1:16" ht="15.75">
      <c r="A12" s="465"/>
      <c r="B12" s="384" t="s">
        <v>235</v>
      </c>
      <c r="C12" s="385" t="s">
        <v>236</v>
      </c>
      <c r="D12" s="386"/>
      <c r="E12" s="93">
        <f>MAIN!$J$17/1000*E11</f>
        <v>0</v>
      </c>
      <c r="F12" s="386"/>
      <c r="G12" s="93">
        <f>MAIN!$J$17/1000*G11</f>
        <v>0</v>
      </c>
      <c r="H12" s="386"/>
      <c r="I12" s="93">
        <f>MAIN!$J$17/1000*I11</f>
        <v>32.26890825</v>
      </c>
      <c r="J12" s="759" t="s">
        <v>237</v>
      </c>
      <c r="K12" s="690" t="s">
        <v>393</v>
      </c>
      <c r="N12" s="48"/>
      <c r="O12" s="48"/>
      <c r="P12" s="48"/>
    </row>
    <row r="13" spans="1:16" ht="15.75">
      <c r="A13" s="465"/>
      <c r="B13" s="384" t="s">
        <v>108</v>
      </c>
      <c r="C13" s="385" t="s">
        <v>13</v>
      </c>
      <c r="D13" s="386"/>
      <c r="E13" s="94">
        <f>I7-MAIN!$J$11-E88-E45/2</f>
        <v>243</v>
      </c>
      <c r="F13" s="386"/>
      <c r="G13" s="94">
        <f>I7-MAIN!$J$12-G88-G45/2</f>
        <v>239</v>
      </c>
      <c r="H13" s="386"/>
      <c r="I13" s="94">
        <f>I7-MAIN!$J$11-I88-I45/2</f>
        <v>239</v>
      </c>
      <c r="J13" s="759"/>
      <c r="K13" s="690">
        <f>MAIN!L21</f>
        <v>1200</v>
      </c>
      <c r="N13" s="48"/>
      <c r="O13" s="48"/>
      <c r="P13" s="48"/>
    </row>
    <row r="14" spans="1:16" ht="15.75">
      <c r="A14" s="465"/>
      <c r="B14" s="384" t="s">
        <v>238</v>
      </c>
      <c r="C14" s="385" t="s">
        <v>13</v>
      </c>
      <c r="D14" s="386"/>
      <c r="E14" s="80">
        <f>MAIN!J$17</f>
        <v>900</v>
      </c>
      <c r="F14" s="386"/>
      <c r="G14" s="80">
        <f>E14</f>
        <v>900</v>
      </c>
      <c r="H14" s="386"/>
      <c r="I14" s="80">
        <f>G14</f>
        <v>900</v>
      </c>
      <c r="J14" s="759"/>
      <c r="K14" s="468"/>
      <c r="N14" s="48"/>
      <c r="O14" s="48"/>
      <c r="P14" s="48"/>
    </row>
    <row r="15" spans="1:16" ht="15.75">
      <c r="A15" s="465"/>
      <c r="B15" s="384" t="s">
        <v>239</v>
      </c>
      <c r="C15" s="385"/>
      <c r="D15" s="386"/>
      <c r="E15" s="95">
        <f>IF(E10&lt;0.9,0.402*(E10-0.4)-0.18*(E10-0.4)^2*1.5/MAIN!$F$13,0.775*0.45*0.67/MAIN!$F$13)</f>
        <v>0.15577500000000002</v>
      </c>
      <c r="F15" s="389"/>
      <c r="G15" s="95">
        <f>IF(G10&lt;0.9,0.402*(G10-0.4)-0.18*(G10-0.4)^2*1.5/MAIN!$F$13,0.775*0.45*0.67/MAIN!$F$13)</f>
        <v>0.15577500000000002</v>
      </c>
      <c r="H15" s="389"/>
      <c r="I15" s="95">
        <f>IF(I10&lt;0.9,0.402*(I10-0.4)-0.18*(I10-0.4)^2*1.5/MAIN!$F$13,0.775*0.45*0.67/MAIN!$F$13)</f>
        <v>0.15577500000000002</v>
      </c>
      <c r="J15" s="750" t="s">
        <v>240</v>
      </c>
      <c r="K15" s="659">
        <f>MAIN!I22-1</f>
        <v>3</v>
      </c>
      <c r="L15" s="48"/>
      <c r="N15" s="48"/>
      <c r="O15" s="48"/>
      <c r="P15" s="48"/>
    </row>
    <row r="16" spans="1:16" ht="15.75">
      <c r="A16" s="465"/>
      <c r="B16" s="384" t="s">
        <v>321</v>
      </c>
      <c r="C16" s="385" t="s">
        <v>236</v>
      </c>
      <c r="D16" s="386"/>
      <c r="E16" s="93">
        <f>E15*MAIN!$J$16*E13^2*MAIN!$C$11/1000000</f>
        <v>48.29137936875001</v>
      </c>
      <c r="F16" s="386"/>
      <c r="G16" s="93">
        <f>MIN(E15,I15)*MAIN!$J$16*F30^2*MAIN!$C$11/1000000</f>
        <v>46.71462481875001</v>
      </c>
      <c r="H16" s="386"/>
      <c r="I16" s="93">
        <f>I15*MAIN!$J$16*I13^2*MAIN!$C$11/1000000</f>
        <v>46.71462481875001</v>
      </c>
      <c r="J16" s="759" t="s">
        <v>241</v>
      </c>
      <c r="K16" s="659" t="s">
        <v>133</v>
      </c>
      <c r="L16" s="48"/>
      <c r="N16" s="48"/>
      <c r="O16" s="48"/>
      <c r="P16" s="48"/>
    </row>
    <row r="17" spans="1:16" ht="15.75">
      <c r="A17" s="465"/>
      <c r="B17" s="384" t="s">
        <v>322</v>
      </c>
      <c r="C17" s="385" t="s">
        <v>236</v>
      </c>
      <c r="D17" s="386"/>
      <c r="E17" s="93">
        <f>E16*E14/MAIN!$J$16</f>
        <v>289.74827621250006</v>
      </c>
      <c r="F17" s="386"/>
      <c r="G17" s="93">
        <f>MIN(G15*G14*G13^2*MAIN!C11,0.67*MAIN!C$11/MAIN!F$13*E14*MAIN!J$15*(G13-MAIN!J$15/2))/1000000</f>
        <v>265.923</v>
      </c>
      <c r="H17" s="386"/>
      <c r="I17" s="93">
        <f>I16*I14/MAIN!$J$16</f>
        <v>280.28774891250004</v>
      </c>
      <c r="J17" s="759" t="s">
        <v>237</v>
      </c>
      <c r="K17" s="468"/>
      <c r="N17" s="48"/>
      <c r="O17" s="48"/>
      <c r="P17" s="48"/>
    </row>
    <row r="18" spans="1:16" ht="15.75">
      <c r="A18" s="465"/>
      <c r="B18" s="384" t="s">
        <v>39</v>
      </c>
      <c r="C18" s="385"/>
      <c r="D18" s="386"/>
      <c r="E18" s="95">
        <f>E12/E14/E13^2/MAIN!$C$11*1000000</f>
        <v>0</v>
      </c>
      <c r="F18" s="389"/>
      <c r="G18" s="95">
        <f>G12/G14/G13^2/MAIN!$C$11*1000000</f>
        <v>0</v>
      </c>
      <c r="H18" s="389"/>
      <c r="I18" s="95">
        <f>I12/I14/I13^2/MAIN!$C$11*1000000</f>
        <v>0.017934031016863954</v>
      </c>
      <c r="J18" s="750" t="s">
        <v>240</v>
      </c>
      <c r="K18" s="471"/>
      <c r="N18" s="48"/>
      <c r="O18" s="48"/>
      <c r="P18" s="48"/>
    </row>
    <row r="19" spans="1:11" ht="15.75">
      <c r="A19" s="465"/>
      <c r="B19" s="384" t="s">
        <v>242</v>
      </c>
      <c r="C19" s="385" t="s">
        <v>13</v>
      </c>
      <c r="D19" s="386"/>
      <c r="E19" s="93">
        <f>E13*MIN(0.5+SQRT(0.25-MIN(E18,E15)/0.9),0.95)</f>
        <v>230.85</v>
      </c>
      <c r="F19" s="386"/>
      <c r="G19" s="93">
        <f>IF(G12&gt;G17,G13-MAIN!J$15/2,G13*MIN(0.5+SQRT(0.25-MIN(G18,G15)/0.9),0.95))</f>
        <v>227.04999999999998</v>
      </c>
      <c r="H19" s="386"/>
      <c r="I19" s="93">
        <f>I13*MIN(0.5+SQRT(0.25-MIN(I18,I15)/0.9),0.95)</f>
        <v>227.04999999999998</v>
      </c>
      <c r="J19" s="759" t="s">
        <v>237</v>
      </c>
      <c r="K19" s="468"/>
    </row>
    <row r="20" spans="1:11" ht="15.75">
      <c r="A20" s="465"/>
      <c r="B20" s="384" t="s">
        <v>243</v>
      </c>
      <c r="C20" s="385" t="s">
        <v>13</v>
      </c>
      <c r="D20" s="386"/>
      <c r="E20" s="93">
        <f>(E13-E19)/0.45</f>
        <v>27.00000000000001</v>
      </c>
      <c r="F20" s="386"/>
      <c r="G20" s="93">
        <f>(G13-G19)/0.45</f>
        <v>26.555555555555593</v>
      </c>
      <c r="H20" s="386"/>
      <c r="I20" s="93">
        <f>(I13-I19)/0.45</f>
        <v>26.555555555555593</v>
      </c>
      <c r="J20" s="759" t="s">
        <v>237</v>
      </c>
      <c r="K20" s="468"/>
    </row>
    <row r="21" spans="1:11" ht="15.75">
      <c r="A21" s="465"/>
      <c r="B21" s="384" t="s">
        <v>244</v>
      </c>
      <c r="C21" s="385" t="s">
        <v>13</v>
      </c>
      <c r="D21" s="386"/>
      <c r="E21" s="94">
        <f>MAIN!$J$12+E88+E60/2</f>
        <v>34</v>
      </c>
      <c r="F21" s="390"/>
      <c r="G21" s="94">
        <f>MAIN!$J$11+G88+G60/2</f>
        <v>34</v>
      </c>
      <c r="H21" s="390"/>
      <c r="I21" s="94">
        <f>MAIN!$J$12+I88+I60/2</f>
        <v>32</v>
      </c>
      <c r="J21" s="759"/>
      <c r="K21" s="469"/>
    </row>
    <row r="22" spans="1:11" ht="15.75">
      <c r="A22" s="465"/>
      <c r="B22" s="384" t="s">
        <v>245</v>
      </c>
      <c r="C22" s="385" t="s">
        <v>11</v>
      </c>
      <c r="D22" s="386"/>
      <c r="E22" s="94">
        <f>MAX(0.001,MIN(700*(E20-E21)/E20,MAIN!$C$12/MAIN!$F$12)-IF(0.9*E20&gt;E21,0.67*MAIN!$C$11/MAIN!$F$13,0))</f>
        <v>0.001</v>
      </c>
      <c r="F22" s="390"/>
      <c r="G22" s="94">
        <f>MAX(0.001,MIN(700*(G20-G21)/G20,MAIN!$C$12/MAIN!$F$12)-IF(0.9*G20&gt;G21,0.67*MAIN!$C$11/MAIN!$F$13,0))</f>
        <v>0.001</v>
      </c>
      <c r="H22" s="390"/>
      <c r="I22" s="94">
        <f>MAX(0.001,MIN(700*(I20-I21)/I20,MAIN!$C$12/MAIN!$F$12)-IF(0.9*I20&gt;I21,0.67*MAIN!$C$11/MAIN!$F$13,0))</f>
        <v>0.001</v>
      </c>
      <c r="J22" s="750" t="s">
        <v>241</v>
      </c>
      <c r="K22" s="469"/>
    </row>
    <row r="23" spans="1:11" ht="15.75">
      <c r="A23" s="465"/>
      <c r="B23" s="384" t="s">
        <v>246</v>
      </c>
      <c r="C23" s="385" t="s">
        <v>236</v>
      </c>
      <c r="D23" s="386"/>
      <c r="E23" s="93">
        <f>MAX(0,E12-E17)</f>
        <v>0</v>
      </c>
      <c r="F23" s="386"/>
      <c r="G23" s="93">
        <f>MAX(0,G12-MAX(G16:G17))</f>
        <v>0</v>
      </c>
      <c r="H23" s="386"/>
      <c r="I23" s="93">
        <f>MAX(0,I12-I17)</f>
        <v>0</v>
      </c>
      <c r="J23" s="759"/>
      <c r="K23" s="468"/>
    </row>
    <row r="24" spans="1:11" ht="15.75">
      <c r="A24" s="465"/>
      <c r="B24" s="384" t="s">
        <v>247</v>
      </c>
      <c r="C24" s="385" t="s">
        <v>109</v>
      </c>
      <c r="D24" s="386"/>
      <c r="E24" s="96">
        <f>1000000*E23/E22/(E13-E21)</f>
        <v>0</v>
      </c>
      <c r="F24" s="391"/>
      <c r="G24" s="96">
        <f>1000000*G23/G22/(G13-G21)</f>
        <v>0</v>
      </c>
      <c r="H24" s="391"/>
      <c r="I24" s="96">
        <f>1000000*I23/I22/(I13-I21)</f>
        <v>0</v>
      </c>
      <c r="J24" s="759"/>
      <c r="K24" s="472"/>
    </row>
    <row r="25" spans="1:11" ht="15.75">
      <c r="A25" s="465"/>
      <c r="B25" s="384" t="s">
        <v>248</v>
      </c>
      <c r="C25" s="385" t="s">
        <v>11</v>
      </c>
      <c r="D25" s="386"/>
      <c r="E25" s="94">
        <f>MIN(700*(E13-E20)/E20,MAIN!$C$12/MAIN!$F$12)</f>
        <v>438.0952380952381</v>
      </c>
      <c r="F25" s="390"/>
      <c r="G25" s="94">
        <f>MIN(700*(G13-G20)/G20,MAIN!$C$12/MAIN!$F$12)</f>
        <v>438.0952380952381</v>
      </c>
      <c r="H25" s="390"/>
      <c r="I25" s="94">
        <f>MIN(700*(I13-I20)/I20,MAIN!$C$12/MAIN!$F$12)</f>
        <v>438.0952380952381</v>
      </c>
      <c r="J25" s="750" t="s">
        <v>241</v>
      </c>
      <c r="K25" s="469"/>
    </row>
    <row r="26" spans="1:11" ht="15.75">
      <c r="A26" s="465"/>
      <c r="B26" s="384" t="s">
        <v>249</v>
      </c>
      <c r="C26" s="385" t="s">
        <v>109</v>
      </c>
      <c r="D26" s="386"/>
      <c r="E26" s="96">
        <f>1000000/E25*(E12-E23)/E19+E24*E22/E25</f>
        <v>0</v>
      </c>
      <c r="F26" s="386"/>
      <c r="G26" s="96">
        <f>1000000/G25*(G12-G23)/G19+G24*G22/G25</f>
        <v>0</v>
      </c>
      <c r="H26" s="386"/>
      <c r="I26" s="96">
        <f>1000000/I25*(I12-I23)/I19+I24*I22/I25</f>
        <v>324.4100003111746</v>
      </c>
      <c r="J26" s="759"/>
      <c r="K26" s="472"/>
    </row>
    <row r="27" spans="1:11" ht="15.75">
      <c r="A27" s="465"/>
      <c r="B27" s="384" t="s">
        <v>250</v>
      </c>
      <c r="C27" s="385"/>
      <c r="D27" s="386"/>
      <c r="E27" s="93"/>
      <c r="F27" s="386"/>
      <c r="G27" s="93">
        <f>I8/G14</f>
        <v>0.18611111111111112</v>
      </c>
      <c r="H27" s="386"/>
      <c r="I27" s="93"/>
      <c r="J27" s="750"/>
      <c r="K27" s="468"/>
    </row>
    <row r="28" spans="1:11" ht="15.75">
      <c r="A28" s="465"/>
      <c r="B28" s="384" t="s">
        <v>251</v>
      </c>
      <c r="C28" s="385" t="s">
        <v>252</v>
      </c>
      <c r="D28" s="386"/>
      <c r="E28" s="97">
        <f>MAX(0.0013,MIN(0.0024,0.0024-0.0011*(MAIN!$C$12-250)/210))</f>
        <v>0.0013</v>
      </c>
      <c r="F28" s="392"/>
      <c r="G28" s="97">
        <f>IF(MAIN!C$12&gt;=460,IF(G27&lt;0.4,0.0018,0.0013),IF(MAIN!C$12&gt;=425,IF(G27&lt;0.4,0.0021,0.0015),IF(G27&lt;0.4,0.0032,0.0024)))</f>
        <v>0.0018</v>
      </c>
      <c r="H28" s="392"/>
      <c r="I28" s="97">
        <f>MAX(0.0013,MIN(0.0024,0.0024-0.0011*(MAIN!$C$12-250)/210))</f>
        <v>0.0013</v>
      </c>
      <c r="J28" s="750" t="s">
        <v>323</v>
      </c>
      <c r="K28" s="473"/>
    </row>
    <row r="29" spans="1:11" ht="15.75">
      <c r="A29" s="465"/>
      <c r="B29" s="384" t="s">
        <v>253</v>
      </c>
      <c r="C29" s="385" t="s">
        <v>109</v>
      </c>
      <c r="D29" s="386"/>
      <c r="E29" s="96">
        <f>E28*E14*I7</f>
        <v>321.75</v>
      </c>
      <c r="F29" s="386"/>
      <c r="G29" s="96">
        <f>G28*I7*I8</f>
        <v>82.9125</v>
      </c>
      <c r="H29" s="386"/>
      <c r="I29" s="96">
        <f>I28*I14*I7</f>
        <v>321.75</v>
      </c>
      <c r="J29" s="759"/>
      <c r="K29" s="472"/>
    </row>
    <row r="30" spans="1:11" ht="15.75">
      <c r="A30" s="465"/>
      <c r="B30" s="393" t="s">
        <v>254</v>
      </c>
      <c r="C30" s="394"/>
      <c r="D30" s="386"/>
      <c r="E30" s="633" t="s">
        <v>255</v>
      </c>
      <c r="F30" s="395">
        <f>E13+E45/2-G45/2</f>
        <v>239</v>
      </c>
      <c r="G30" s="633" t="s">
        <v>256</v>
      </c>
      <c r="H30" s="395">
        <f>E21-E60/2+G45/2</f>
        <v>36</v>
      </c>
      <c r="I30" s="634"/>
      <c r="J30" s="750"/>
      <c r="K30" s="468"/>
    </row>
    <row r="31" spans="1:11" ht="15.75">
      <c r="A31" s="465"/>
      <c r="B31" s="384" t="s">
        <v>234</v>
      </c>
      <c r="C31" s="385" t="s">
        <v>87</v>
      </c>
      <c r="D31" s="386"/>
      <c r="E31" s="92">
        <f>MAX(0,Graf!X32)</f>
        <v>1.8151260890625003</v>
      </c>
      <c r="F31" s="476"/>
      <c r="G31" s="92">
        <f>MAX(0,Graf!H32,Graf!R32)</f>
        <v>20.16806765625001</v>
      </c>
      <c r="H31" s="388"/>
      <c r="I31" s="92">
        <f>MAX(0,Graf!Y32)</f>
        <v>7.260504356250006</v>
      </c>
      <c r="J31" s="759"/>
      <c r="K31" s="468"/>
    </row>
    <row r="32" spans="1:11" ht="15.75">
      <c r="A32" s="465"/>
      <c r="B32" s="384" t="s">
        <v>235</v>
      </c>
      <c r="C32" s="385" t="s">
        <v>236</v>
      </c>
      <c r="D32" s="386"/>
      <c r="E32" s="93">
        <f>MAIN!$J$17/1000*E31</f>
        <v>1.6336134801562503</v>
      </c>
      <c r="F32" s="386"/>
      <c r="G32" s="93">
        <f>MAIN!$J$17/1000*G31</f>
        <v>18.15126089062501</v>
      </c>
      <c r="H32" s="386"/>
      <c r="I32" s="93">
        <f>MAIN!$J$17/1000*I31</f>
        <v>6.534453920625005</v>
      </c>
      <c r="J32" s="759"/>
      <c r="K32" s="468"/>
    </row>
    <row r="33" spans="1:11" ht="15.75">
      <c r="A33" s="465"/>
      <c r="B33" s="384" t="s">
        <v>238</v>
      </c>
      <c r="C33" s="385" t="s">
        <v>13</v>
      </c>
      <c r="D33" s="386"/>
      <c r="E33" s="80">
        <f>MAIN!J$16</f>
        <v>150</v>
      </c>
      <c r="F33" s="52"/>
      <c r="G33" s="80">
        <f>E33</f>
        <v>150</v>
      </c>
      <c r="H33" s="52"/>
      <c r="I33" s="80">
        <f>G33</f>
        <v>150</v>
      </c>
      <c r="J33" s="750"/>
      <c r="K33" s="468"/>
    </row>
    <row r="34" spans="1:11" ht="15.75">
      <c r="A34" s="465"/>
      <c r="B34" s="384" t="s">
        <v>39</v>
      </c>
      <c r="C34" s="385"/>
      <c r="D34" s="386"/>
      <c r="E34" s="95">
        <f>1000000*E32/E33/MAIN!$C$11/E13^2</f>
        <v>0.005269597663139331</v>
      </c>
      <c r="F34" s="389"/>
      <c r="G34" s="95">
        <f>1000000*G32/G33/MAIN!$C$11/F30^2</f>
        <v>0.06052735468191587</v>
      </c>
      <c r="H34" s="389"/>
      <c r="I34" s="95">
        <f>1000000*I32/I33/MAIN!$C$11/I13^2</f>
        <v>0.021789847685489718</v>
      </c>
      <c r="J34" s="750" t="s">
        <v>240</v>
      </c>
      <c r="K34" s="468"/>
    </row>
    <row r="35" spans="1:11" ht="15.75">
      <c r="A35" s="465"/>
      <c r="B35" s="384" t="s">
        <v>242</v>
      </c>
      <c r="C35" s="385" t="s">
        <v>13</v>
      </c>
      <c r="D35" s="386"/>
      <c r="E35" s="93">
        <f>E13*MIN(0.5+SQRT(0.25-MIN(E34,E15)/0.9),0.95)</f>
        <v>230.85</v>
      </c>
      <c r="F35" s="386"/>
      <c r="G35" s="93">
        <f>F30*MIN(0.5+SQRT(0.25-MIN(G34,G15)/0.9),0.95)</f>
        <v>221.67002155021515</v>
      </c>
      <c r="H35" s="386"/>
      <c r="I35" s="93">
        <f>I13*MIN(0.5+SQRT(0.25-MIN(I34,I15)/0.9),0.95)</f>
        <v>227.04999999999998</v>
      </c>
      <c r="J35" s="759" t="s">
        <v>237</v>
      </c>
      <c r="K35" s="468"/>
    </row>
    <row r="36" spans="1:11" ht="15.75">
      <c r="A36" s="465"/>
      <c r="B36" s="384" t="s">
        <v>243</v>
      </c>
      <c r="C36" s="385" t="s">
        <v>13</v>
      </c>
      <c r="D36" s="386"/>
      <c r="E36" s="93">
        <f>(E13-E35)/0.45</f>
        <v>27.00000000000001</v>
      </c>
      <c r="F36" s="386"/>
      <c r="G36" s="93">
        <f>(F30-G35)/0.45</f>
        <v>38.5110632217441</v>
      </c>
      <c r="H36" s="386"/>
      <c r="I36" s="93">
        <f>(I13-I35)/0.45</f>
        <v>26.555555555555593</v>
      </c>
      <c r="J36" s="759" t="s">
        <v>237</v>
      </c>
      <c r="K36" s="468"/>
    </row>
    <row r="37" spans="1:11" ht="15.75">
      <c r="A37" s="465"/>
      <c r="B37" s="384" t="s">
        <v>245</v>
      </c>
      <c r="C37" s="385" t="s">
        <v>11</v>
      </c>
      <c r="D37" s="386"/>
      <c r="E37" s="94">
        <f>MAX(0.001,MIN(700*(E36-E21)/E36,MAIN!$C$12/MAIN!$F$12)-IF(0.9*E36&gt;E21,0.67*MAIN!$C$11/MAIN!$F$13,0))</f>
        <v>0.001</v>
      </c>
      <c r="F37" s="386"/>
      <c r="G37" s="94">
        <f>MAX(0.001,MIN(700*(G36-H30)/G36,MAIN!$C$12/MAIN!$F$12)-IF(0.9*G36&gt;H30,0.67*MAIN!$C$11/MAIN!$F$13,0))</f>
        <v>45.64257925313302</v>
      </c>
      <c r="H37" s="386"/>
      <c r="I37" s="94">
        <f>MAX(0.001,MIN(700*(I36-I21)/I36,MAIN!$C$12/MAIN!$F$12)-IF(0.9*I36&gt;I21,0.67*MAIN!$C$11/MAIN!$F$13,0))</f>
        <v>0.001</v>
      </c>
      <c r="J37" s="750" t="s">
        <v>241</v>
      </c>
      <c r="K37" s="468"/>
    </row>
    <row r="38" spans="1:11" ht="15.75">
      <c r="A38" s="465"/>
      <c r="B38" s="384" t="s">
        <v>246</v>
      </c>
      <c r="C38" s="385" t="s">
        <v>236</v>
      </c>
      <c r="D38" s="386"/>
      <c r="E38" s="93">
        <f>MAX(0,E32-E16)</f>
        <v>0</v>
      </c>
      <c r="F38" s="386"/>
      <c r="G38" s="93">
        <f>MAX(0,G32-G16)</f>
        <v>0</v>
      </c>
      <c r="H38" s="386"/>
      <c r="I38" s="93">
        <f>MAX(0,I32-I16)</f>
        <v>0</v>
      </c>
      <c r="J38" s="750"/>
      <c r="K38" s="468"/>
    </row>
    <row r="39" spans="1:11" ht="15.75">
      <c r="A39" s="465"/>
      <c r="B39" s="384" t="s">
        <v>247</v>
      </c>
      <c r="C39" s="385" t="s">
        <v>109</v>
      </c>
      <c r="D39" s="386"/>
      <c r="E39" s="96">
        <f>1000000*MIN(E38/E37/(E13-E21),E32/MAIN!$C$12*MAIN!$F$12/(E13-E21))</f>
        <v>0</v>
      </c>
      <c r="F39" s="386"/>
      <c r="G39" s="96">
        <f>1000000*MIN(G38/G37/(F30-H30),G32/MAIN!$C$12*MAIN!$F$12/(F30-H30))</f>
        <v>0</v>
      </c>
      <c r="H39" s="386"/>
      <c r="I39" s="96">
        <f>1000000*MIN(I38/I37/(I13-I21),I32/MAIN!$C$12*MAIN!$F$12/(I13-I21))</f>
        <v>0</v>
      </c>
      <c r="J39" s="750"/>
      <c r="K39" s="468"/>
    </row>
    <row r="40" spans="1:11" ht="15.75">
      <c r="A40" s="465"/>
      <c r="B40" s="384" t="s">
        <v>248</v>
      </c>
      <c r="C40" s="385" t="s">
        <v>11</v>
      </c>
      <c r="D40" s="386"/>
      <c r="E40" s="94">
        <f>MIN(700*(E13-E36)/E36,MAIN!$C$12/MAIN!$F$12)</f>
        <v>438.0952380952381</v>
      </c>
      <c r="F40" s="386"/>
      <c r="G40" s="94">
        <f>MIN(700*(F30-G36)/G36,MAIN!$C$12/MAIN!$F$12)</f>
        <v>438.0952380952381</v>
      </c>
      <c r="H40" s="386"/>
      <c r="I40" s="94">
        <f>MIN(700*(I13-I36)/I36,MAIN!$C$12/MAIN!$F$12)</f>
        <v>438.0952380952381</v>
      </c>
      <c r="J40" s="750" t="s">
        <v>241</v>
      </c>
      <c r="K40" s="468"/>
    </row>
    <row r="41" spans="1:11" ht="15.75">
      <c r="A41" s="465"/>
      <c r="B41" s="384" t="s">
        <v>249</v>
      </c>
      <c r="C41" s="385" t="s">
        <v>109</v>
      </c>
      <c r="D41" s="386"/>
      <c r="E41" s="96">
        <f>1000000*MIN((E32-E38)/E35/E40+E39*E37/E40,E32/MAIN!$C$12*MAIN!$F$12/(E13-E21))</f>
        <v>16.152914598827238</v>
      </c>
      <c r="F41" s="386"/>
      <c r="G41" s="96">
        <f>1000000*MIN((G32-G38)/G35/G40+G39*G37/G40,G32/MAIN!$C$12*MAIN!$F$12/(F30-H30))</f>
        <v>186.90946866085898</v>
      </c>
      <c r="H41" s="386"/>
      <c r="I41" s="96">
        <f>1000000*MIN((I32-I38)/I35/I40+I39*I37/I40,I32/MAIN!$C$12*MAIN!$F$12/(I13-I21))</f>
        <v>65.6930250630129</v>
      </c>
      <c r="J41" s="750"/>
      <c r="K41" s="468"/>
    </row>
    <row r="42" spans="1:11" ht="15.75">
      <c r="A42" s="465"/>
      <c r="B42" s="382" t="s">
        <v>257</v>
      </c>
      <c r="C42" s="394"/>
      <c r="D42" s="386"/>
      <c r="E42" s="93"/>
      <c r="F42" s="386"/>
      <c r="G42" s="93"/>
      <c r="H42" s="386"/>
      <c r="I42" s="93"/>
      <c r="J42" s="750"/>
      <c r="K42" s="468"/>
    </row>
    <row r="43" spans="1:11" ht="15.75">
      <c r="A43" s="465"/>
      <c r="B43" s="384" t="s">
        <v>258</v>
      </c>
      <c r="C43" s="385" t="s">
        <v>109</v>
      </c>
      <c r="D43" s="386"/>
      <c r="E43" s="96">
        <f>E26*(1+E79)</f>
        <v>0</v>
      </c>
      <c r="F43" s="391"/>
      <c r="G43" s="96">
        <f>G26*(1+G79)</f>
        <v>0</v>
      </c>
      <c r="H43" s="391"/>
      <c r="I43" s="96">
        <f>I26*(1+I79)</f>
        <v>324.4100003111746</v>
      </c>
      <c r="J43" s="750"/>
      <c r="K43" s="468"/>
    </row>
    <row r="44" spans="1:11" ht="15.75">
      <c r="A44" s="465"/>
      <c r="B44" s="384" t="s">
        <v>259</v>
      </c>
      <c r="C44" s="385" t="s">
        <v>109</v>
      </c>
      <c r="D44" s="386"/>
      <c r="E44" s="96">
        <f>MAX(E53*$I7*$I8,E41*(1+E79))</f>
        <v>119.76249999999999</v>
      </c>
      <c r="F44" s="391"/>
      <c r="G44" s="96">
        <f>MAX(G43,G29,G41)</f>
        <v>186.90946866085898</v>
      </c>
      <c r="H44" s="391"/>
      <c r="I44" s="96">
        <f>MAX(I53*$I7*$I8,I41*(1+I79))</f>
        <v>119.76249999999999</v>
      </c>
      <c r="J44" s="750"/>
      <c r="K44" s="468"/>
    </row>
    <row r="45" spans="1:16" ht="18">
      <c r="A45" s="465"/>
      <c r="B45" s="384" t="s">
        <v>374</v>
      </c>
      <c r="C45" s="385" t="s">
        <v>13</v>
      </c>
      <c r="D45" s="396" t="str">
        <f>IF(MAIN!$J$11+E88&lt;E45,"! ! !","ok")</f>
        <v>ok</v>
      </c>
      <c r="E45" s="80">
        <f>SPANS!F14</f>
        <v>12</v>
      </c>
      <c r="F45" s="396" t="str">
        <f>IF(MIN(MAIN!$J$12,MAIN!$J$13)+G88&lt;G45,"! ! !","ok")</f>
        <v>ok</v>
      </c>
      <c r="G45" s="80">
        <f>SPANS!I17</f>
        <v>20</v>
      </c>
      <c r="H45" s="396" t="str">
        <f>IF(MAIN!$J$11+I88&lt;I45,"! ! !","ok")</f>
        <v>ok</v>
      </c>
      <c r="I45" s="80">
        <f>SPANS!L14</f>
        <v>20</v>
      </c>
      <c r="J45" s="750"/>
      <c r="K45" s="403" t="str">
        <f>IF(AND(AND(D45="ok",F45="ok"),H45="ok"),"","Inadequate Cover")</f>
        <v></v>
      </c>
      <c r="M45" s="17"/>
      <c r="N45" s="17"/>
      <c r="P45" s="17"/>
    </row>
    <row r="46" spans="1:11" ht="15.75">
      <c r="A46" s="465"/>
      <c r="B46" s="384" t="s">
        <v>136</v>
      </c>
      <c r="C46" s="385"/>
      <c r="D46" s="386"/>
      <c r="E46" s="80">
        <f>MAX(2,CEILING(E44/PI()*4/E45^2,1))</f>
        <v>2</v>
      </c>
      <c r="F46" s="386"/>
      <c r="G46" s="80">
        <f>MAX(1,CEILING(G44/PI()*4/G45^2,1))</f>
        <v>1</v>
      </c>
      <c r="H46" s="386"/>
      <c r="I46" s="80">
        <f>MAX(2,CEILING(I44/PI()*4/I45^2,1))</f>
        <v>2</v>
      </c>
      <c r="J46" s="750"/>
      <c r="K46" s="468"/>
    </row>
    <row r="47" spans="1:11" ht="15.75">
      <c r="A47" s="465"/>
      <c r="B47" s="384" t="s">
        <v>112</v>
      </c>
      <c r="C47" s="385" t="s">
        <v>109</v>
      </c>
      <c r="D47" s="386"/>
      <c r="E47" s="96">
        <f>PI()/4*E45^2*E46</f>
        <v>226.1946710584651</v>
      </c>
      <c r="F47" s="391"/>
      <c r="G47" s="96">
        <f>PI()/4*G45^2*G46</f>
        <v>314.1592653589793</v>
      </c>
      <c r="H47" s="391"/>
      <c r="I47" s="96">
        <f>PI()/4*I45^2*I46</f>
        <v>628.3185307179587</v>
      </c>
      <c r="J47" s="750" t="str">
        <f>IF(Analysis!I19&gt;4,"! ! !"," ")</f>
        <v> </v>
      </c>
      <c r="K47" s="468"/>
    </row>
    <row r="48" spans="1:11" ht="15.75">
      <c r="A48" s="465"/>
      <c r="B48" s="384" t="s">
        <v>261</v>
      </c>
      <c r="C48" s="385" t="s">
        <v>252</v>
      </c>
      <c r="D48" s="396" t="str">
        <f>IF(E48&gt;4,"! ! !","ok")</f>
        <v>ok</v>
      </c>
      <c r="E48" s="98">
        <f>100*E47/E13/I8</f>
        <v>0.5557267270031696</v>
      </c>
      <c r="F48" s="396" t="str">
        <f>IF(G48&gt;4,"! ! !","ok")</f>
        <v>ok</v>
      </c>
      <c r="G48" s="98">
        <f>100*G47/G13/I8</f>
        <v>0.7847605454542667</v>
      </c>
      <c r="H48" s="396" t="str">
        <f>IF(I48&gt;4,"! ! !","ok")</f>
        <v>ok</v>
      </c>
      <c r="I48" s="98">
        <f>100*I47/I13/I8</f>
        <v>1.5695210909085333</v>
      </c>
      <c r="J48" s="755"/>
      <c r="K48" s="403" t="str">
        <f>IF(AND(AND(D48="ok",F48="ok"),H48="ok"),"","As &gt; 4%")</f>
        <v></v>
      </c>
    </row>
    <row r="49" spans="1:18" ht="15.75">
      <c r="A49" s="465"/>
      <c r="B49" s="384" t="s">
        <v>262</v>
      </c>
      <c r="C49" s="385" t="s">
        <v>13</v>
      </c>
      <c r="D49" s="386"/>
      <c r="E49" s="94">
        <f>(MAIN!$J$16+2/MAIN!$J$18*E13-2*(MAIN!$J$13+E88)-E46*E45)/(E46-1)</f>
        <v>122.6</v>
      </c>
      <c r="F49" s="390"/>
      <c r="G49" s="94">
        <f>IF(G46=1,G50,(MAIN!$J$16+2/MAIN!$J$18*(I7-G13)-2*(MAIN!$J$13+G88)-G46*G45)/(G46-1))</f>
        <v>25</v>
      </c>
      <c r="H49" s="390"/>
      <c r="I49" s="94">
        <f>(MAIN!$J$16+2/MAIN!$J$18*I13-2*(MAIN!$J$13+I88)-I46*I45)/(I46-1)</f>
        <v>105.80000000000001</v>
      </c>
      <c r="J49" s="750" t="s">
        <v>263</v>
      </c>
      <c r="K49" s="468"/>
      <c r="L49" s="622">
        <f>VALUE(MAIN!O1)</f>
        <v>8</v>
      </c>
      <c r="M49" s="556"/>
      <c r="N49" s="556"/>
      <c r="O49" s="556"/>
      <c r="P49" s="556"/>
      <c r="Q49" s="556"/>
      <c r="R49" s="557"/>
    </row>
    <row r="50" spans="1:18" ht="15.75">
      <c r="A50" s="465"/>
      <c r="B50" s="384" t="s">
        <v>264</v>
      </c>
      <c r="C50" s="385" t="s">
        <v>13</v>
      </c>
      <c r="D50" s="396" t="str">
        <f>IF(E49&lt;E50,"! ! !","ok")</f>
        <v>ok</v>
      </c>
      <c r="E50" s="94">
        <f>MAX(E45,MAIN!$F$11+5)</f>
        <v>25</v>
      </c>
      <c r="F50" s="396" t="str">
        <f>IF(G49&lt;G50,"! ! !","ok")</f>
        <v>ok</v>
      </c>
      <c r="G50" s="94">
        <f>MAX(G45,MAIN!$F$11+5)</f>
        <v>25</v>
      </c>
      <c r="H50" s="396" t="str">
        <f>IF(I49&lt;I50,"! ! !","ok")</f>
        <v>ok</v>
      </c>
      <c r="I50" s="94">
        <f>MAX(I45,MAIN!$F$11+5)</f>
        <v>25</v>
      </c>
      <c r="J50" s="750" t="s">
        <v>265</v>
      </c>
      <c r="K50" s="403" t="str">
        <f>IF(AND(AND(D50="ok",F50="ok"),H50="ok"),"","Min spacing fails")</f>
        <v></v>
      </c>
      <c r="L50" s="623">
        <v>0</v>
      </c>
      <c r="M50" s="624">
        <v>8</v>
      </c>
      <c r="N50" s="624">
        <v>10</v>
      </c>
      <c r="O50" s="624">
        <v>12</v>
      </c>
      <c r="P50" s="624">
        <v>16</v>
      </c>
      <c r="Q50" s="624">
        <v>20</v>
      </c>
      <c r="R50" s="625">
        <v>25</v>
      </c>
    </row>
    <row r="51" spans="1:18" ht="15.75">
      <c r="A51" s="465"/>
      <c r="B51" s="384" t="s">
        <v>266</v>
      </c>
      <c r="C51" s="385" t="s">
        <v>13</v>
      </c>
      <c r="D51" s="396" t="str">
        <f>IF(E49&gt;E51,"! ! !","ok")</f>
        <v>ok</v>
      </c>
      <c r="E51" s="94">
        <f>MIN(300,70000*$E10/MAIN!$C$12)</f>
        <v>152.17391304347825</v>
      </c>
      <c r="F51" s="396" t="str">
        <f>IF(G49&gt;G51,"! ! !","ok")</f>
        <v>ok</v>
      </c>
      <c r="G51" s="94">
        <f>MIN(47000/G73,300)</f>
        <v>300</v>
      </c>
      <c r="H51" s="396" t="str">
        <f>IF(I49&gt;I51,"! ! !","ok")</f>
        <v>ok</v>
      </c>
      <c r="I51" s="94">
        <f>E51</f>
        <v>152.17391304347825</v>
      </c>
      <c r="J51" s="750" t="s">
        <v>267</v>
      </c>
      <c r="K51" s="403" t="str">
        <f>IF(AND(AND(D51="ok",F51="ok"),H51="ok"),"","Max spacing fails")</f>
        <v></v>
      </c>
      <c r="L51" s="626">
        <f aca="true" t="shared" si="0" ref="L51:Q51">MAX($L49,M50)</f>
        <v>8</v>
      </c>
      <c r="M51" s="627">
        <f t="shared" si="0"/>
        <v>10</v>
      </c>
      <c r="N51" s="627">
        <f t="shared" si="0"/>
        <v>12</v>
      </c>
      <c r="O51" s="627">
        <f t="shared" si="0"/>
        <v>16</v>
      </c>
      <c r="P51" s="627">
        <f t="shared" si="0"/>
        <v>20</v>
      </c>
      <c r="Q51" s="627">
        <f t="shared" si="0"/>
        <v>25</v>
      </c>
      <c r="R51" s="628">
        <f>MAX($L49,32)</f>
        <v>32</v>
      </c>
    </row>
    <row r="52" spans="1:11" ht="15.75">
      <c r="A52" s="465"/>
      <c r="B52" s="477" t="s">
        <v>369</v>
      </c>
      <c r="C52" s="385"/>
      <c r="D52" s="396"/>
      <c r="E52" s="94"/>
      <c r="F52" s="396"/>
      <c r="G52" s="94"/>
      <c r="H52" s="396"/>
      <c r="I52" s="94"/>
      <c r="J52" s="750"/>
      <c r="K52" s="468"/>
    </row>
    <row r="53" spans="1:11" ht="15.75">
      <c r="A53" s="465"/>
      <c r="B53" s="384" t="s">
        <v>370</v>
      </c>
      <c r="C53" s="385" t="s">
        <v>252</v>
      </c>
      <c r="D53" s="396"/>
      <c r="E53" s="97">
        <f>IF(MAIN!C12&gt;=460,0.0026,0.0048)</f>
        <v>0.0026</v>
      </c>
      <c r="F53" s="396"/>
      <c r="G53" s="97"/>
      <c r="H53" s="396"/>
      <c r="I53" s="97">
        <f>E53</f>
        <v>0.0026</v>
      </c>
      <c r="J53" s="750"/>
      <c r="K53" s="468"/>
    </row>
    <row r="54" spans="1:11" ht="15.75">
      <c r="A54" s="465"/>
      <c r="B54" s="384" t="s">
        <v>371</v>
      </c>
      <c r="C54" s="385" t="s">
        <v>109</v>
      </c>
      <c r="D54" s="396"/>
      <c r="E54" s="96">
        <f>MAX(0,MAX(E26,E43,E29)-E47)</f>
        <v>95.5553289415349</v>
      </c>
      <c r="F54" s="479"/>
      <c r="G54" s="96"/>
      <c r="H54" s="479"/>
      <c r="I54" s="96">
        <f>MAX(0,MAX(I26,I43,I29)-I47)</f>
        <v>0</v>
      </c>
      <c r="J54" s="750"/>
      <c r="K54" s="468"/>
    </row>
    <row r="55" spans="1:11" ht="15.75">
      <c r="A55" s="465"/>
      <c r="B55" s="384" t="s">
        <v>372</v>
      </c>
      <c r="C55" s="385" t="s">
        <v>13</v>
      </c>
      <c r="D55" s="396"/>
      <c r="E55" s="96">
        <f>HLOOKUP(SQRT(4*E54/M56/PI()),L$50:R$51,2)</f>
        <v>8</v>
      </c>
      <c r="F55" s="479"/>
      <c r="G55" s="96"/>
      <c r="H55" s="479"/>
      <c r="I55" s="96">
        <f>HLOOKUP(SQRT(4*I54/N56/PI()),L$50:R$51,2)</f>
        <v>8</v>
      </c>
      <c r="J55" s="750"/>
      <c r="K55" s="468"/>
    </row>
    <row r="56" spans="1:14" ht="15.75">
      <c r="A56" s="465"/>
      <c r="B56" s="384" t="s">
        <v>136</v>
      </c>
      <c r="C56" s="385"/>
      <c r="D56" s="396"/>
      <c r="E56" s="96">
        <f>MAX(M56,CEILING(E54/PI()*4/E55^2,1))</f>
        <v>4</v>
      </c>
      <c r="F56" s="479"/>
      <c r="G56" s="96"/>
      <c r="H56" s="479"/>
      <c r="I56" s="96">
        <f>MAX(N56,CEILING(I54/PI()*4/I55^2,1))</f>
        <v>4</v>
      </c>
      <c r="J56" s="750"/>
      <c r="K56" s="468"/>
      <c r="L56" s="629" t="s">
        <v>373</v>
      </c>
      <c r="M56" s="630">
        <f>MAX(CEILING((MAIN!$J$17-(E49+E45)*(E46-1))/(E51+E45),1)-1,1)</f>
        <v>4</v>
      </c>
      <c r="N56" s="631">
        <f>MAX(CEILING((MAIN!$J$17-(I49+I45)*(I46-1))/(I51+I45),1)-1,1)</f>
        <v>4</v>
      </c>
    </row>
    <row r="57" spans="1:11" ht="15.75">
      <c r="A57" s="465"/>
      <c r="B57" s="384" t="s">
        <v>112</v>
      </c>
      <c r="C57" s="385" t="s">
        <v>109</v>
      </c>
      <c r="D57" s="396"/>
      <c r="E57" s="96">
        <f>PI()/4*E55^2*E56</f>
        <v>201.06192982974676</v>
      </c>
      <c r="F57" s="396"/>
      <c r="G57" s="94"/>
      <c r="H57" s="396"/>
      <c r="I57" s="96">
        <f>PI()/4*I55^2*I56</f>
        <v>201.06192982974676</v>
      </c>
      <c r="J57" s="750"/>
      <c r="K57" s="468"/>
    </row>
    <row r="58" spans="1:11" ht="15.75">
      <c r="A58" s="465"/>
      <c r="B58" s="382" t="s">
        <v>268</v>
      </c>
      <c r="C58" s="394"/>
      <c r="D58" s="386"/>
      <c r="E58" s="93"/>
      <c r="F58" s="386"/>
      <c r="G58" s="93"/>
      <c r="H58" s="386"/>
      <c r="I58" s="93"/>
      <c r="J58" s="750"/>
      <c r="K58" s="468"/>
    </row>
    <row r="59" spans="1:11" ht="15.75">
      <c r="A59" s="465"/>
      <c r="B59" s="384" t="s">
        <v>269</v>
      </c>
      <c r="C59" s="385" t="s">
        <v>109</v>
      </c>
      <c r="D59" s="386"/>
      <c r="E59" s="96">
        <f>MAX(IF(E12=0,0.5,0.3)*$G47,IF(E38=0,0,MAX(E24,E39,0.002*I8*I7)))</f>
        <v>157.07963267948966</v>
      </c>
      <c r="F59" s="386"/>
      <c r="G59" s="96">
        <f>MAX(G24,G41,IF(G23=0,0,0.004*I7*G14),IF(G41=0,0,IF(MAIN!C$12&lt;425,0.0024,0.0013)*I8*I7))</f>
        <v>186.90946866085898</v>
      </c>
      <c r="H59" s="386"/>
      <c r="I59" s="96">
        <f>MAX(IF(I12=0,0.5,0.3)*$G47,IF(I38=0,0,MAX(I24,I39,0.002*I8*I7)))</f>
        <v>94.2477796076938</v>
      </c>
      <c r="J59" s="750" t="s">
        <v>323</v>
      </c>
      <c r="K59" s="468"/>
    </row>
    <row r="60" spans="1:11" ht="15.75">
      <c r="A60" s="465"/>
      <c r="B60" s="384" t="s">
        <v>260</v>
      </c>
      <c r="C60" s="385" t="s">
        <v>13</v>
      </c>
      <c r="D60" s="396" t="str">
        <f>IF(MIN(MAIN!$J$12,MAIN!$J$13)+E88&lt;E60,"! ! !","ok")</f>
        <v>ok</v>
      </c>
      <c r="E60" s="80">
        <f>SPANS!F17</f>
        <v>16</v>
      </c>
      <c r="F60" s="396" t="str">
        <f>IF(MAIN!$J$11+G88&lt;G60,"! ! !","ok")</f>
        <v>ok</v>
      </c>
      <c r="G60" s="80">
        <f>SPANS!I14</f>
        <v>16</v>
      </c>
      <c r="H60" s="396" t="str">
        <f>IF(MIN(MAIN!$J$12,MAIN!$J$13)+I88&lt;I60,"! ! !","ok")</f>
        <v>ok</v>
      </c>
      <c r="I60" s="80">
        <f>SPANS!L17</f>
        <v>12</v>
      </c>
      <c r="J60" s="750"/>
      <c r="K60" s="403" t="str">
        <f>IF(AND(AND(D60="ok",F60="ok"),H60="ok"),"","Inadequate Cover")</f>
        <v></v>
      </c>
    </row>
    <row r="61" spans="1:11" ht="15.75">
      <c r="A61" s="465"/>
      <c r="B61" s="384" t="s">
        <v>136</v>
      </c>
      <c r="C61" s="385"/>
      <c r="D61" s="386"/>
      <c r="E61" s="80">
        <f>MAX(1,CEILING(E59/PI()*4/E60^2,1))</f>
        <v>1</v>
      </c>
      <c r="F61" s="386"/>
      <c r="G61" s="80">
        <f>IF(G60=0,0,MAX(1,CEILING(G59/PI()*4/G60^2,1)))</f>
        <v>1</v>
      </c>
      <c r="H61" s="386"/>
      <c r="I61" s="80">
        <f>MAX(1,CEILING(I59/PI()*4/I60^2,1))</f>
        <v>1</v>
      </c>
      <c r="J61" s="750"/>
      <c r="K61" s="468"/>
    </row>
    <row r="62" spans="1:11" ht="15.75">
      <c r="A62" s="465"/>
      <c r="B62" s="384" t="s">
        <v>114</v>
      </c>
      <c r="C62" s="385" t="s">
        <v>109</v>
      </c>
      <c r="D62" s="386"/>
      <c r="E62" s="96">
        <f>PI()/4*E60^2*E61</f>
        <v>201.06192982974676</v>
      </c>
      <c r="F62" s="386"/>
      <c r="G62" s="96">
        <f>PI()/4*G60^2*G61</f>
        <v>201.06192982974676</v>
      </c>
      <c r="H62" s="386"/>
      <c r="I62" s="96">
        <f>PI()/4*I60^2*I61</f>
        <v>113.09733552923255</v>
      </c>
      <c r="J62" s="750"/>
      <c r="K62" s="468"/>
    </row>
    <row r="63" spans="1:11" ht="15.75">
      <c r="A63" s="465"/>
      <c r="B63" s="384" t="s">
        <v>261</v>
      </c>
      <c r="C63" s="385" t="s">
        <v>252</v>
      </c>
      <c r="D63" s="396" t="str">
        <f>IF(E63&gt;4,"! ! !","ok")</f>
        <v>ok</v>
      </c>
      <c r="E63" s="99">
        <f>100*E62/E13/I8</f>
        <v>0.4939793128917063</v>
      </c>
      <c r="F63" s="396" t="str">
        <f>IF(G63&gt;4,"! ! !","ok")</f>
        <v>ok</v>
      </c>
      <c r="G63" s="99">
        <f>100*G62/G13/I8</f>
        <v>0.5022467490907306</v>
      </c>
      <c r="H63" s="396" t="str">
        <f>IF(I63&gt;4,"! ! !","ok")</f>
        <v>ok</v>
      </c>
      <c r="I63" s="99">
        <f>100*I62/I13/I8</f>
        <v>0.282513796363536</v>
      </c>
      <c r="J63" s="795" t="s">
        <v>445</v>
      </c>
      <c r="K63" s="403" t="str">
        <f>IF(AND(AND(D63="ok",F63="ok"),H63="ok"),"","As &gt; 4%")</f>
        <v></v>
      </c>
    </row>
    <row r="64" spans="1:11" ht="15.75">
      <c r="A64" s="465"/>
      <c r="B64" s="384" t="s">
        <v>262</v>
      </c>
      <c r="C64" s="385" t="s">
        <v>13</v>
      </c>
      <c r="D64" s="386"/>
      <c r="E64" s="94">
        <f>IF(E61&lt;2,0,(MAIN!$J$16+2/MAIN!$J$18*E21-2*(MAIN!$J$13+E88)-E60*E61)/(E61-1))</f>
        <v>0</v>
      </c>
      <c r="F64" s="386"/>
      <c r="G64" s="94">
        <f>IF(G61&lt;2,0,(MAIN!$J$16+2/MAIN!$J$18*(I7-G21)-2*(MAIN!$J$13+G88)-G60*G61)/(G61-1))</f>
        <v>0</v>
      </c>
      <c r="H64" s="386"/>
      <c r="I64" s="94">
        <f>IF(I61&lt;2,0,(MAIN!$J$16+2/MAIN!$J$18*I21-2*(MAIN!$J$13+I88)-I60*I61)/(I61-1))</f>
        <v>0</v>
      </c>
      <c r="J64" s="750" t="s">
        <v>263</v>
      </c>
      <c r="K64" s="468"/>
    </row>
    <row r="65" spans="1:11" ht="16.5" thickBot="1">
      <c r="A65" s="465"/>
      <c r="B65" s="641" t="s">
        <v>264</v>
      </c>
      <c r="C65" s="642" t="s">
        <v>13</v>
      </c>
      <c r="D65" s="643" t="str">
        <f>IF(E64&lt;E65,"! ! !","ok")</f>
        <v>ok</v>
      </c>
      <c r="E65" s="644">
        <f>IF(E61&lt;2,0,MAX(E60,MAIN!$F$11+5))</f>
        <v>0</v>
      </c>
      <c r="F65" s="643" t="str">
        <f>IF(G64&lt;G65,"! ! !","ok")</f>
        <v>ok</v>
      </c>
      <c r="G65" s="644">
        <f>IF(G61&lt;2,0,MAX(G60,MAIN!$F$11+5))</f>
        <v>0</v>
      </c>
      <c r="H65" s="643" t="str">
        <f>IF(I64&lt;I65,"! ! !","ok")</f>
        <v>ok</v>
      </c>
      <c r="I65" s="644">
        <f>IF(I61&lt;2,0,MAX(I60,MAIN!$F$11+5))</f>
        <v>0</v>
      </c>
      <c r="J65" s="760" t="s">
        <v>265</v>
      </c>
      <c r="K65" s="403" t="str">
        <f>IF(AND(AND(D65="ok",F65="ok"),H65="ok"),"","Min spacing fails")</f>
        <v></v>
      </c>
    </row>
    <row r="66" spans="1:11" ht="18">
      <c r="A66" s="465"/>
      <c r="B66" s="539" t="str">
        <f>B$2</f>
        <v> Project</v>
      </c>
      <c r="C66" s="540" t="str">
        <f>C$2</f>
        <v>Spreadsheets to BS 8110</v>
      </c>
      <c r="D66" s="542"/>
      <c r="E66" s="542"/>
      <c r="F66" s="542"/>
      <c r="G66" s="541"/>
      <c r="H66" s="542"/>
      <c r="I66" s="542"/>
      <c r="J66" s="753"/>
      <c r="K66" s="403"/>
    </row>
    <row r="67" spans="1:11" ht="18">
      <c r="A67" s="465"/>
      <c r="B67" s="543" t="str">
        <f>B$3</f>
        <v> Location</v>
      </c>
      <c r="C67" s="544" t="str">
        <f>C$3</f>
        <v>3rd Floor slab,  from 1 to 5a</v>
      </c>
      <c r="D67" s="545"/>
      <c r="E67" s="545"/>
      <c r="F67" s="545"/>
      <c r="G67" s="736" t="s">
        <v>407</v>
      </c>
      <c r="H67" s="545"/>
      <c r="I67" s="545"/>
      <c r="J67" s="754"/>
      <c r="K67" s="403"/>
    </row>
    <row r="68" spans="1:11" ht="15.75">
      <c r="A68" s="465"/>
      <c r="B68" s="546"/>
      <c r="C68" s="547" t="str">
        <f>C$4</f>
        <v>RIBBED SLABS to BS 8110:1997 (Analysis &amp; Design)</v>
      </c>
      <c r="D68" s="545"/>
      <c r="E68" s="545"/>
      <c r="F68" s="545"/>
      <c r="G68" s="122"/>
      <c r="H68" s="122"/>
      <c r="I68" s="122"/>
      <c r="J68" s="766" t="str">
        <f>J$4</f>
        <v>Made by  rmw    Job No  R68</v>
      </c>
      <c r="K68" s="403"/>
    </row>
    <row r="69" spans="1:11" ht="16.5" thickBot="1">
      <c r="A69" s="465"/>
      <c r="B69" s="549"/>
      <c r="C69" s="550" t="str">
        <f>C$5</f>
        <v>Originated from  RCC32.xls v2.2 on CD               © 2000-2003 BCA for RCC</v>
      </c>
      <c r="D69" s="552"/>
      <c r="E69" s="552"/>
      <c r="F69" s="552"/>
      <c r="G69" s="551"/>
      <c r="H69" s="551"/>
      <c r="I69" s="553" t="str">
        <f>I$5</f>
        <v> Date</v>
      </c>
      <c r="J69" s="767">
        <f>J$5</f>
        <v>39305</v>
      </c>
      <c r="K69" s="403"/>
    </row>
    <row r="70" spans="1:11" ht="15.75">
      <c r="A70" s="465"/>
      <c r="B70" s="384" t="s">
        <v>408</v>
      </c>
      <c r="C70" s="385"/>
      <c r="D70" s="396"/>
      <c r="E70" s="385"/>
      <c r="F70" s="385"/>
      <c r="G70" s="385"/>
      <c r="H70" s="385"/>
      <c r="I70" s="640"/>
      <c r="J70" s="748"/>
      <c r="K70" s="403"/>
    </row>
    <row r="71" spans="1:11" ht="15.75">
      <c r="A71" s="465"/>
      <c r="B71" s="384"/>
      <c r="C71" s="385"/>
      <c r="D71" s="396"/>
      <c r="E71" s="673"/>
      <c r="F71" s="385"/>
      <c r="G71" s="673"/>
      <c r="H71" s="385"/>
      <c r="I71" s="674"/>
      <c r="J71" s="750"/>
      <c r="K71" s="403"/>
    </row>
    <row r="72" spans="1:11" ht="15.75">
      <c r="A72" s="465"/>
      <c r="B72" s="382" t="s">
        <v>270</v>
      </c>
      <c r="C72" s="394"/>
      <c r="D72" s="386"/>
      <c r="E72" s="93"/>
      <c r="F72" s="386"/>
      <c r="G72" s="93"/>
      <c r="H72" s="386"/>
      <c r="I72" s="761"/>
      <c r="J72" s="750"/>
      <c r="K72" s="468"/>
    </row>
    <row r="73" spans="1:11" ht="15.75">
      <c r="A73" s="465"/>
      <c r="B73" s="384" t="s">
        <v>271</v>
      </c>
      <c r="C73" s="385" t="s">
        <v>11</v>
      </c>
      <c r="D73" s="386"/>
      <c r="E73" s="94">
        <f>MAX(0.00001,2/3*MAIN!$C$12*E26/(E47+E57)/E10)</f>
        <v>1E-05</v>
      </c>
      <c r="F73" s="390"/>
      <c r="G73" s="94">
        <f>MAX(0.00001,2/3*MAIN!$C$12*G26/G47/G10)</f>
        <v>1E-05</v>
      </c>
      <c r="H73" s="390"/>
      <c r="I73" s="94">
        <f>MAX(1,2/3*MAIN!$C$12*I26/(I47+I57)/I10)</f>
        <v>119.95186547204393</v>
      </c>
      <c r="J73" s="750" t="s">
        <v>327</v>
      </c>
      <c r="K73" s="468"/>
    </row>
    <row r="74" spans="1:11" ht="15.75">
      <c r="A74" s="465"/>
      <c r="B74" s="384" t="s">
        <v>272</v>
      </c>
      <c r="C74" s="385"/>
      <c r="D74" s="386"/>
      <c r="E74" s="93"/>
      <c r="F74" s="386"/>
      <c r="G74" s="93">
        <f>MAX(IF(SPANS!S$2=1,16,20.8),IF(SPANS!S$2=1,20,26)-5.2/0.7*(1-G27))*IF(G7&gt;10,10/G7,1)</f>
        <v>20.8</v>
      </c>
      <c r="H74" s="386"/>
      <c r="I74" s="93">
        <f>7*IF(G7&gt;10,10/G7,1)</f>
        <v>7</v>
      </c>
      <c r="J74" s="750" t="s">
        <v>273</v>
      </c>
      <c r="K74" s="468"/>
    </row>
    <row r="75" spans="1:11" ht="15.75">
      <c r="A75" s="465"/>
      <c r="B75" s="384" t="s">
        <v>274</v>
      </c>
      <c r="C75" s="385"/>
      <c r="D75" s="386"/>
      <c r="E75" s="93"/>
      <c r="F75" s="386"/>
      <c r="G75" s="93">
        <f>MIN(0.55+(477-G73)/120/(0.9+MAIN!C$11*G18),2)</f>
        <v>2</v>
      </c>
      <c r="H75" s="386"/>
      <c r="I75" s="93">
        <f>MIN(0.55+(477-I73)/120/(0.9+MAIN!C$11*I18),2)</f>
        <v>2</v>
      </c>
      <c r="J75" s="750" t="s">
        <v>325</v>
      </c>
      <c r="K75" s="468"/>
    </row>
    <row r="76" spans="1:11" ht="15.75">
      <c r="A76" s="465"/>
      <c r="B76" s="384" t="s">
        <v>276</v>
      </c>
      <c r="C76" s="385"/>
      <c r="D76" s="386"/>
      <c r="E76" s="93"/>
      <c r="F76" s="386"/>
      <c r="G76" s="93">
        <f>MIN(1.5,1+100*G62/G13/G14/(3+100*G62/G13/G14))</f>
        <v>1.0302164199777581</v>
      </c>
      <c r="H76" s="386"/>
      <c r="I76" s="93">
        <v>1</v>
      </c>
      <c r="J76" s="750" t="s">
        <v>275</v>
      </c>
      <c r="K76" s="468"/>
    </row>
    <row r="77" spans="1:11" ht="15.75">
      <c r="A77" s="465"/>
      <c r="B77" s="384" t="s">
        <v>277</v>
      </c>
      <c r="C77" s="385"/>
      <c r="D77" s="386"/>
      <c r="E77" s="93"/>
      <c r="F77" s="386"/>
      <c r="G77" s="93">
        <f>IF(MAIN!J21="C",0,1)*G74*G75*G76*IF(MAIN!C$14&lt;20,0.85,1)</f>
        <v>0</v>
      </c>
      <c r="H77" s="386"/>
      <c r="I77" s="93">
        <f>IF(MAIN!J21="C",I74*I75*I76*IF(MAIN!C$14&lt;20,0.85,1),0)</f>
        <v>14</v>
      </c>
      <c r="J77" s="750" t="s">
        <v>278</v>
      </c>
      <c r="K77" s="468"/>
    </row>
    <row r="78" spans="1:11" ht="15.75">
      <c r="A78" s="465"/>
      <c r="B78" s="384" t="s">
        <v>279</v>
      </c>
      <c r="C78" s="385"/>
      <c r="D78" s="386"/>
      <c r="E78" s="93"/>
      <c r="F78" s="396" t="str">
        <f>IF(G78&gt;G77,"! ! !","ok")</f>
        <v>ok</v>
      </c>
      <c r="G78" s="93">
        <f>IF(MAIN!J21="C",0,1000*G7/G13)</f>
        <v>0</v>
      </c>
      <c r="H78" s="396" t="str">
        <f>IF(I78&gt;I77,"! ! !","ok")</f>
        <v>ok</v>
      </c>
      <c r="I78" s="93">
        <f>IF(MAIN!J21="C",1000*G7/I13,0)</f>
        <v>8.368200836820083</v>
      </c>
      <c r="J78" s="750" t="s">
        <v>280</v>
      </c>
      <c r="K78" s="403" t="str">
        <f>IF(AND(AND(H78="ok",F78="ok"),H78="ok"),"","Deflection failure")</f>
        <v></v>
      </c>
    </row>
    <row r="79" spans="1:11" ht="15.75">
      <c r="A79" s="465"/>
      <c r="B79" s="384" t="s">
        <v>281</v>
      </c>
      <c r="C79" s="385" t="s">
        <v>252</v>
      </c>
      <c r="D79" s="386"/>
      <c r="E79" s="93"/>
      <c r="F79" s="386"/>
      <c r="G79" s="93">
        <f>IF(MAIN!J21="C",0,MAX(0,(2/3*MAIN!$C$12*G26/(477-120*(MIN(2,G78/(G74*G76*IF(MAIN!C$14&lt;20,0.85,1)))-0.55)*(0.9+MAIN!C$11*G18))/G10)/G26-1))</f>
        <v>0</v>
      </c>
      <c r="H79" s="386"/>
      <c r="I79" s="93">
        <f>IF(MAIN!J21="C",MAX(0,(2/3*MAIN!$C$12*I26/(477-120*(MIN(2,I78/(I74*I76*IF(MAIN!C$14&lt;20,0.85,1)))-0.55)*(0.9+MAIN!C$11*I18))/I10)/I26-1),0)</f>
        <v>0</v>
      </c>
      <c r="J79" s="750"/>
      <c r="K79" s="468"/>
    </row>
    <row r="80" spans="1:11" ht="15.75">
      <c r="A80" s="465"/>
      <c r="B80" s="397"/>
      <c r="C80" s="394"/>
      <c r="D80" s="386"/>
      <c r="E80" s="93"/>
      <c r="F80" s="386"/>
      <c r="G80" s="93"/>
      <c r="H80" s="386"/>
      <c r="I80" s="93"/>
      <c r="J80" s="750"/>
      <c r="K80" s="468"/>
    </row>
    <row r="81" spans="1:11" ht="15.75">
      <c r="A81" s="465"/>
      <c r="B81" s="382" t="s">
        <v>282</v>
      </c>
      <c r="C81" s="122"/>
      <c r="D81" s="386"/>
      <c r="E81" s="632"/>
      <c r="F81" s="387"/>
      <c r="G81" s="100"/>
      <c r="H81" s="387"/>
      <c r="I81" s="632"/>
      <c r="J81" s="750"/>
      <c r="K81" s="468"/>
    </row>
    <row r="82" spans="1:11" ht="15.75">
      <c r="A82" s="465"/>
      <c r="B82" s="384" t="s">
        <v>328</v>
      </c>
      <c r="C82" s="385" t="s">
        <v>71</v>
      </c>
      <c r="D82" s="398"/>
      <c r="E82" s="92">
        <f>MAX(Analysis!D170:D172)</f>
        <v>0</v>
      </c>
      <c r="F82" s="399"/>
      <c r="G82" s="101"/>
      <c r="H82" s="399"/>
      <c r="I82" s="92">
        <f>MAX(Analysis!J170:J172)</f>
        <v>35.8543425</v>
      </c>
      <c r="J82" s="755"/>
      <c r="K82" s="468"/>
    </row>
    <row r="83" spans="1:11" ht="15.75">
      <c r="A83" s="465"/>
      <c r="B83" s="384" t="s">
        <v>330</v>
      </c>
      <c r="C83" s="385" t="s">
        <v>283</v>
      </c>
      <c r="D83" s="386"/>
      <c r="E83" s="100">
        <f>MAX(MAIN!E18,E13)/1000</f>
        <v>0.45</v>
      </c>
      <c r="F83" s="388"/>
      <c r="G83" s="92"/>
      <c r="H83" s="388"/>
      <c r="I83" s="100">
        <f>MAX(MAIN!F18,I13)/1000</f>
        <v>1.1</v>
      </c>
      <c r="J83" s="750" t="s">
        <v>331</v>
      </c>
      <c r="K83" s="468"/>
    </row>
    <row r="84" spans="1:11" ht="15.75">
      <c r="A84" s="465"/>
      <c r="B84" s="384" t="s">
        <v>284</v>
      </c>
      <c r="C84" s="385" t="s">
        <v>285</v>
      </c>
      <c r="D84" s="386"/>
      <c r="E84" s="93">
        <f>(E82-Analysis!D298*E83-Analysis!D299)*MAIN!$J$17/1000</f>
        <v>-6.27183</v>
      </c>
      <c r="F84" s="386"/>
      <c r="G84" s="93"/>
      <c r="H84" s="386"/>
      <c r="I84" s="93">
        <f>(I82-Analysis!D298*I83-Analysis!D300)*MAIN!$J$17/1000</f>
        <v>16.93776825</v>
      </c>
      <c r="J84" s="750"/>
      <c r="K84" s="468"/>
    </row>
    <row r="85" spans="1:11" ht="15.75">
      <c r="A85" s="465"/>
      <c r="B85" s="384" t="s">
        <v>117</v>
      </c>
      <c r="C85" s="385" t="s">
        <v>11</v>
      </c>
      <c r="D85" s="386"/>
      <c r="E85" s="95">
        <f>1000*E84/$I8/E13</f>
        <v>-0.154089552238806</v>
      </c>
      <c r="F85" s="386"/>
      <c r="G85" s="95"/>
      <c r="H85" s="386"/>
      <c r="I85" s="95">
        <f>1000*I84/$I8/I13</f>
        <v>0.4231004371448199</v>
      </c>
      <c r="J85" s="750" t="s">
        <v>326</v>
      </c>
      <c r="K85" s="468"/>
    </row>
    <row r="86" spans="1:11" ht="15.75">
      <c r="A86" s="465"/>
      <c r="B86" s="384" t="s">
        <v>118</v>
      </c>
      <c r="C86" s="385" t="s">
        <v>11</v>
      </c>
      <c r="D86" s="386"/>
      <c r="E86" s="95">
        <f>0.632*MAX(1,400/E13)^0.25*MIN(3,100*MAX(E47,E62)/$I8/E13)^0.3333333*(MIN(MAIN!$C$11,40)/25)^0.3333333*IF(MAIN!$C$14&lt;20,0.8,1)</f>
        <v>0.6584057544734734</v>
      </c>
      <c r="F86" s="386"/>
      <c r="G86" s="95" t="str">
        <f>IF(MAIN!R4=MAIN!R1,"NOMINAL","NO LINKS")</f>
        <v>NOMINAL</v>
      </c>
      <c r="H86" s="386"/>
      <c r="I86" s="95">
        <f>0.632*MAX(1,400/I13)^0.25*MIN(3,100*MAX(I47,I62)/$I8/I13)^0.3333333*(MIN(MAIN!$C$11,40)/25)^0.3333333*IF(MAIN!$C$14&lt;20,0.8,1)</f>
        <v>0.9345394807245901</v>
      </c>
      <c r="J86" s="750" t="s">
        <v>287</v>
      </c>
      <c r="K86" s="468"/>
    </row>
    <row r="87" spans="1:12" ht="15.75">
      <c r="A87" s="465"/>
      <c r="B87" s="384" t="s">
        <v>329</v>
      </c>
      <c r="C87" s="385" t="s">
        <v>286</v>
      </c>
      <c r="D87" s="386"/>
      <c r="E87" s="94">
        <f>MAX(0.4,E85-E86)*$I8</f>
        <v>67</v>
      </c>
      <c r="F87" s="390"/>
      <c r="G87" s="94">
        <f>L$87*I8</f>
        <v>0.0001675</v>
      </c>
      <c r="H87" s="390"/>
      <c r="I87" s="94">
        <f>MAX(0.4,I85-I86)*$I8</f>
        <v>67</v>
      </c>
      <c r="J87" s="750" t="s">
        <v>324</v>
      </c>
      <c r="K87" s="468"/>
      <c r="L87" s="488">
        <v>1E-06</v>
      </c>
    </row>
    <row r="88" spans="1:11" ht="15.75">
      <c r="A88" s="465"/>
      <c r="B88" s="384" t="s">
        <v>119</v>
      </c>
      <c r="C88" s="385" t="s">
        <v>13</v>
      </c>
      <c r="D88" s="386"/>
      <c r="E88" s="80">
        <f>SPANS!I21</f>
        <v>6</v>
      </c>
      <c r="F88" s="52"/>
      <c r="G88" s="80">
        <f>E88</f>
        <v>6</v>
      </c>
      <c r="H88" s="52"/>
      <c r="I88" s="80">
        <f>E88</f>
        <v>6</v>
      </c>
      <c r="J88" s="750" t="s">
        <v>288</v>
      </c>
      <c r="K88" s="468"/>
    </row>
    <row r="89" spans="1:11" ht="15.75">
      <c r="A89" s="465"/>
      <c r="B89" s="384" t="s">
        <v>289</v>
      </c>
      <c r="C89" s="385" t="s">
        <v>13</v>
      </c>
      <c r="D89" s="386"/>
      <c r="E89" s="96">
        <f>FLOOR(MIN(0.75*E13,0.75*G13,PI()/2*E88^2*MAIN!$C$13/MAIN!$F$12/E87,IF(E39&gt;0,12*E60,600)),5)</f>
        <v>175</v>
      </c>
      <c r="F89" s="386"/>
      <c r="G89" s="96">
        <f>K13</f>
        <v>1200</v>
      </c>
      <c r="H89" s="386"/>
      <c r="I89" s="96">
        <f>FLOOR(MIN(0.75*I13,0.75*G13,PI()/2*I88^2*MAIN!$C$13/MAIN!$F$12/I87,IF(I39&gt;0,12*I60,600)),5)</f>
        <v>175</v>
      </c>
      <c r="J89" s="750" t="s">
        <v>290</v>
      </c>
      <c r="K89" s="468"/>
    </row>
    <row r="90" spans="1:11" ht="15.75">
      <c r="A90" s="465"/>
      <c r="B90" s="384" t="s">
        <v>291</v>
      </c>
      <c r="C90" s="385" t="s">
        <v>13</v>
      </c>
      <c r="D90" s="386"/>
      <c r="E90" s="80">
        <f>CEILING(MAX(0,(1000*E84-E86*$I8*E13)/Analysis!$F170),E89)</f>
        <v>0</v>
      </c>
      <c r="F90" s="386"/>
      <c r="G90" s="80">
        <f>CEILING(MAX(0,1000*(G7-E83-I83)-50-E90-I90-2*G89),G89)</f>
        <v>0</v>
      </c>
      <c r="H90" s="386"/>
      <c r="I90" s="80">
        <f>CEILING(MAX(0,(1000*I84-I86*$I8*I13)/Analysis!$F170),I89)</f>
        <v>0</v>
      </c>
      <c r="J90" s="750" t="s">
        <v>292</v>
      </c>
      <c r="K90" s="468"/>
    </row>
    <row r="91" spans="1:11" ht="15.75">
      <c r="A91" s="465"/>
      <c r="B91" s="384" t="s">
        <v>293</v>
      </c>
      <c r="C91" s="385" t="s">
        <v>13</v>
      </c>
      <c r="D91" s="396"/>
      <c r="E91" s="18"/>
      <c r="F91" s="396" t="str">
        <f>IF(G91&gt;MIN(G13,150),"! ! !","ok")</f>
        <v>ok</v>
      </c>
      <c r="G91" s="80">
        <f>INT(CEILING(G46-1,1)/2)*(G49+G45)</f>
        <v>0</v>
      </c>
      <c r="H91" s="390"/>
      <c r="I91" s="18"/>
      <c r="J91" s="750" t="s">
        <v>294</v>
      </c>
      <c r="K91" s="403" t="str">
        <f>IF(F91="ok","","Too far from link")</f>
        <v></v>
      </c>
    </row>
    <row r="92" spans="1:11" ht="15.75">
      <c r="A92" s="465"/>
      <c r="B92" s="384" t="s">
        <v>295</v>
      </c>
      <c r="C92" s="385" t="s">
        <v>13</v>
      </c>
      <c r="D92" s="396" t="str">
        <f>IF(E92&gt;150,"FAILS","ok")</f>
        <v>ok</v>
      </c>
      <c r="E92" s="94">
        <f>INT(CEILING(E61-1,1)/2)*(E64+E60)</f>
        <v>0</v>
      </c>
      <c r="F92" s="396" t="str">
        <f>IF(G92&gt;150,"! ! !","ok")</f>
        <v>ok</v>
      </c>
      <c r="G92" s="94">
        <f>INT(CEILING(G61-1,1)/2)*(G64+G60)</f>
        <v>0</v>
      </c>
      <c r="H92" s="396" t="str">
        <f>IF(I92&gt;150,"FAILS","ok")</f>
        <v>ok</v>
      </c>
      <c r="I92" s="94">
        <f>INT(CEILING(I61-1,1)/2)*(I64+I60)</f>
        <v>0</v>
      </c>
      <c r="J92" s="750" t="s">
        <v>296</v>
      </c>
      <c r="K92" s="403" t="str">
        <f>IF(AND(AND(H92="ok",F92="ok"),H92="ok"),"","Too far from link")</f>
        <v></v>
      </c>
    </row>
    <row r="93" spans="1:11" ht="15.75">
      <c r="A93" s="465"/>
      <c r="B93" s="384"/>
      <c r="C93" s="385"/>
      <c r="D93" s="396"/>
      <c r="E93" s="663"/>
      <c r="F93" s="396"/>
      <c r="G93" s="663"/>
      <c r="H93" s="396"/>
      <c r="I93" s="663"/>
      <c r="J93" s="750"/>
      <c r="K93" s="403"/>
    </row>
    <row r="94" spans="1:11" ht="15.75">
      <c r="A94" s="465"/>
      <c r="B94" s="654"/>
      <c r="C94" s="645"/>
      <c r="D94" s="645"/>
      <c r="E94" s="645"/>
      <c r="F94" s="645"/>
      <c r="G94" s="645"/>
      <c r="H94" s="645"/>
      <c r="I94" s="645"/>
      <c r="J94" s="747"/>
      <c r="K94" s="403"/>
    </row>
    <row r="95" spans="1:11" ht="15.75">
      <c r="A95" s="465"/>
      <c r="B95" s="654"/>
      <c r="C95" s="645"/>
      <c r="D95" s="645"/>
      <c r="E95" s="645"/>
      <c r="F95" s="645"/>
      <c r="G95" s="645"/>
      <c r="H95" s="645"/>
      <c r="I95" s="645"/>
      <c r="J95" s="747"/>
      <c r="K95" s="403"/>
    </row>
    <row r="96" spans="1:11" ht="15.75">
      <c r="A96" s="465"/>
      <c r="B96" s="654"/>
      <c r="C96" s="645"/>
      <c r="D96" s="645"/>
      <c r="E96" s="645"/>
      <c r="F96" s="645"/>
      <c r="G96" s="645"/>
      <c r="H96" s="645"/>
      <c r="I96" s="645"/>
      <c r="J96" s="747"/>
      <c r="K96" s="465"/>
    </row>
    <row r="97" spans="1:11" ht="19.5">
      <c r="A97" s="465"/>
      <c r="B97" s="743" t="s">
        <v>226</v>
      </c>
      <c r="C97" s="744"/>
      <c r="D97" s="745" t="s">
        <v>227</v>
      </c>
      <c r="E97" s="746">
        <v>2</v>
      </c>
      <c r="F97" s="649" t="s">
        <v>228</v>
      </c>
      <c r="G97" s="650">
        <f>MAIN!C19</f>
        <v>7</v>
      </c>
      <c r="H97" s="645" t="s">
        <v>229</v>
      </c>
      <c r="I97" s="651">
        <f>MAIN!D19</f>
        <v>275</v>
      </c>
      <c r="J97" s="755"/>
      <c r="K97" s="465"/>
    </row>
    <row r="98" spans="1:11" ht="18">
      <c r="A98" s="465"/>
      <c r="B98" s="376"/>
      <c r="C98" s="377"/>
      <c r="D98" s="664" t="str">
        <f>IF(G97=0,"-  No Span 2  ","")&amp;D167</f>
        <v>-</v>
      </c>
      <c r="E98" s="379"/>
      <c r="F98" s="379"/>
      <c r="G98" s="379"/>
      <c r="H98" s="380" t="s">
        <v>230</v>
      </c>
      <c r="I98" s="381">
        <f>Analysis!E8</f>
        <v>167.5</v>
      </c>
      <c r="J98" s="750"/>
      <c r="K98" s="465"/>
    </row>
    <row r="99" spans="1:11" ht="15.75">
      <c r="A99" s="465"/>
      <c r="B99" s="382" t="s">
        <v>232</v>
      </c>
      <c r="C99" s="377"/>
      <c r="D99" s="383"/>
      <c r="E99" s="474" t="s">
        <v>101</v>
      </c>
      <c r="F99" s="475"/>
      <c r="G99" s="474" t="s">
        <v>227</v>
      </c>
      <c r="H99" s="475"/>
      <c r="I99" s="474" t="s">
        <v>103</v>
      </c>
      <c r="J99" s="759"/>
      <c r="K99" s="465"/>
    </row>
    <row r="100" spans="1:11" ht="15.75">
      <c r="A100" s="465"/>
      <c r="B100" s="384" t="s">
        <v>106</v>
      </c>
      <c r="C100" s="385"/>
      <c r="D100" s="386"/>
      <c r="E100" s="91">
        <f>I10</f>
        <v>1</v>
      </c>
      <c r="F100" s="387"/>
      <c r="G100" s="91">
        <f>ACTIONS!E31</f>
        <v>0.9369604514778225</v>
      </c>
      <c r="H100" s="387"/>
      <c r="I100" s="91">
        <f>ACTIONS!F25</f>
        <v>0.85</v>
      </c>
      <c r="J100" s="759"/>
      <c r="K100" s="466"/>
    </row>
    <row r="101" spans="1:11" ht="15.75">
      <c r="A101" s="465"/>
      <c r="B101" s="384" t="s">
        <v>234</v>
      </c>
      <c r="C101" s="385" t="s">
        <v>87</v>
      </c>
      <c r="D101" s="386"/>
      <c r="E101" s="92">
        <f>I11</f>
        <v>35.8543425</v>
      </c>
      <c r="F101" s="388"/>
      <c r="G101" s="92">
        <f>ACTIONS!E30</f>
        <v>62.290340831186654</v>
      </c>
      <c r="H101" s="388"/>
      <c r="I101" s="92">
        <f>ACTIONS!F24</f>
        <v>83.24680497335541</v>
      </c>
      <c r="J101" s="759"/>
      <c r="K101" s="467"/>
    </row>
    <row r="102" spans="1:11" ht="15.75">
      <c r="A102" s="465"/>
      <c r="B102" s="384" t="s">
        <v>235</v>
      </c>
      <c r="C102" s="385" t="s">
        <v>236</v>
      </c>
      <c r="D102" s="386"/>
      <c r="E102" s="93">
        <f>MAIN!$J$17/1000*E101</f>
        <v>32.26890825</v>
      </c>
      <c r="F102" s="386"/>
      <c r="G102" s="93">
        <f>MAIN!$J$17/1000*G101</f>
        <v>56.06130674806799</v>
      </c>
      <c r="H102" s="386"/>
      <c r="I102" s="93">
        <f>MAIN!$J$17/1000*I101</f>
        <v>74.92212447601987</v>
      </c>
      <c r="J102" s="759" t="s">
        <v>237</v>
      </c>
      <c r="K102" s="468"/>
    </row>
    <row r="103" spans="1:11" ht="15.75">
      <c r="A103" s="465"/>
      <c r="B103" s="384" t="s">
        <v>108</v>
      </c>
      <c r="C103" s="385" t="s">
        <v>13</v>
      </c>
      <c r="D103" s="386"/>
      <c r="E103" s="94">
        <f>I97-MAIN!$J$11-E178-E141/2</f>
        <v>239</v>
      </c>
      <c r="F103" s="386"/>
      <c r="G103" s="94">
        <f>I97-MAIN!$J$12-G178-G141/2</f>
        <v>239</v>
      </c>
      <c r="H103" s="386"/>
      <c r="I103" s="94">
        <f>I97-MAIN!$J$11-I178-I141/2</f>
        <v>239</v>
      </c>
      <c r="J103" s="759"/>
      <c r="K103" s="469"/>
    </row>
    <row r="104" spans="1:11" ht="15.75">
      <c r="A104" s="465"/>
      <c r="B104" s="384" t="s">
        <v>238</v>
      </c>
      <c r="C104" s="385" t="s">
        <v>13</v>
      </c>
      <c r="D104" s="386"/>
      <c r="E104" s="80">
        <f>MAIN!J$17</f>
        <v>900</v>
      </c>
      <c r="F104" s="386"/>
      <c r="G104" s="80">
        <f>E104</f>
        <v>900</v>
      </c>
      <c r="H104" s="386"/>
      <c r="I104" s="80">
        <f>G104</f>
        <v>900</v>
      </c>
      <c r="J104" s="759"/>
      <c r="K104" s="470"/>
    </row>
    <row r="105" spans="1:11" ht="15.75">
      <c r="A105" s="465"/>
      <c r="B105" s="384" t="s">
        <v>239</v>
      </c>
      <c r="C105" s="385"/>
      <c r="D105" s="386"/>
      <c r="E105" s="95">
        <f>IF(E100&lt;0.9,0.402*(E100-0.4)-0.18*(E100-0.4)^2*1.5/MAIN!$F$13,0.775*0.45*0.67/MAIN!$F$13)</f>
        <v>0.15577500000000002</v>
      </c>
      <c r="F105" s="389"/>
      <c r="G105" s="95">
        <f>IF(G100&lt;0.9,0.402*(G100-0.4)-0.18*(G100-0.4)^2*1.5/MAIN!$F$13,0.775*0.45*0.67/MAIN!$F$13)</f>
        <v>0.15577500000000002</v>
      </c>
      <c r="H105" s="389"/>
      <c r="I105" s="95">
        <f>IF(I100&lt;0.9,0.402*(I100-0.4)-0.18*(I100-0.4)^2*1.5/MAIN!$F$13,0.775*0.45*0.67/MAIN!$F$13)</f>
        <v>0.14445000000000002</v>
      </c>
      <c r="J105" s="750" t="s">
        <v>240</v>
      </c>
      <c r="K105" s="471"/>
    </row>
    <row r="106" spans="1:11" ht="15.75">
      <c r="A106" s="465"/>
      <c r="B106" s="384" t="s">
        <v>321</v>
      </c>
      <c r="C106" s="385" t="s">
        <v>236</v>
      </c>
      <c r="D106" s="386"/>
      <c r="E106" s="93">
        <f>E105*MAIN!$J$16*E103^2*MAIN!$C$11/1000000</f>
        <v>46.71462481875001</v>
      </c>
      <c r="F106" s="386"/>
      <c r="G106" s="93">
        <f>MIN(E105,I105)*MAIN!$J$16*F120^2*MAIN!$C$11/1000000</f>
        <v>43.31842436250001</v>
      </c>
      <c r="H106" s="386"/>
      <c r="I106" s="93">
        <f>I105*MAIN!$J$16*I103^2*MAIN!$C$11/1000000</f>
        <v>43.31842436250001</v>
      </c>
      <c r="J106" s="759" t="s">
        <v>241</v>
      </c>
      <c r="K106" s="468"/>
    </row>
    <row r="107" spans="1:11" ht="15.75">
      <c r="A107" s="465"/>
      <c r="B107" s="384" t="s">
        <v>322</v>
      </c>
      <c r="C107" s="385" t="s">
        <v>236</v>
      </c>
      <c r="D107" s="386"/>
      <c r="E107" s="93">
        <f>E106*E104/MAIN!$J$16</f>
        <v>280.28774891250004</v>
      </c>
      <c r="F107" s="386"/>
      <c r="G107" s="93">
        <f>MIN(G105*G104*G103^2*MAIN!C$11,0.67*MAIN!C$11/MAIN!F$13*E104*MAIN!J$15*(G103-MAIN!J$15/2))/1000000</f>
        <v>265.923</v>
      </c>
      <c r="H107" s="386"/>
      <c r="I107" s="93">
        <f>I106*I104/MAIN!$J$16</f>
        <v>259.91054617500004</v>
      </c>
      <c r="J107" s="759" t="s">
        <v>237</v>
      </c>
      <c r="K107" s="468"/>
    </row>
    <row r="108" spans="1:11" ht="15.75">
      <c r="A108" s="465"/>
      <c r="B108" s="384" t="s">
        <v>39</v>
      </c>
      <c r="C108" s="385"/>
      <c r="D108" s="386"/>
      <c r="E108" s="95">
        <f>E102/E104/E103^2/MAIN!$C$11*1000000</f>
        <v>0.017934031016863954</v>
      </c>
      <c r="F108" s="389"/>
      <c r="G108" s="95">
        <f>G102/G104/G103^2/MAIN!$C$11*1000000</f>
        <v>0.031157088001754</v>
      </c>
      <c r="H108" s="389"/>
      <c r="I108" s="95">
        <f>I102/I104/I103^2/MAIN!$C$11*1000000</f>
        <v>0.04163932953022302</v>
      </c>
      <c r="J108" s="750" t="s">
        <v>240</v>
      </c>
      <c r="K108" s="471"/>
    </row>
    <row r="109" spans="1:11" ht="15.75">
      <c r="A109" s="465"/>
      <c r="B109" s="384" t="s">
        <v>242</v>
      </c>
      <c r="C109" s="385" t="s">
        <v>13</v>
      </c>
      <c r="D109" s="386"/>
      <c r="E109" s="93">
        <f>E103*MIN(0.5+SQRT(0.25-MIN(E108,E105)/0.9),0.95)</f>
        <v>227.04999999999998</v>
      </c>
      <c r="F109" s="386"/>
      <c r="G109" s="93">
        <f>IF(G102&gt;G107,G103-MAIN!J$15/2,G103*MIN(0.5+SQRT(0.25-MIN(G108,G105)/0.9),0.95))</f>
        <v>227.04999999999998</v>
      </c>
      <c r="H109" s="386"/>
      <c r="I109" s="93">
        <f>I103*MIN(0.5+SQRT(0.25-MIN(I108,I105)/0.9),0.95)</f>
        <v>227.04999999999998</v>
      </c>
      <c r="J109" s="759" t="s">
        <v>237</v>
      </c>
      <c r="K109" s="468"/>
    </row>
    <row r="110" spans="1:11" ht="15.75">
      <c r="A110" s="465"/>
      <c r="B110" s="384" t="s">
        <v>243</v>
      </c>
      <c r="C110" s="385" t="s">
        <v>13</v>
      </c>
      <c r="D110" s="386"/>
      <c r="E110" s="93">
        <f>(E103-E109)/0.45</f>
        <v>26.555555555555593</v>
      </c>
      <c r="F110" s="386"/>
      <c r="G110" s="93">
        <f>(G103-G109)/0.45</f>
        <v>26.555555555555593</v>
      </c>
      <c r="H110" s="386"/>
      <c r="I110" s="93">
        <f>(I103-I109)/0.45</f>
        <v>26.555555555555593</v>
      </c>
      <c r="J110" s="759" t="s">
        <v>237</v>
      </c>
      <c r="K110" s="468"/>
    </row>
    <row r="111" spans="1:11" ht="15.75">
      <c r="A111" s="465"/>
      <c r="B111" s="384" t="s">
        <v>244</v>
      </c>
      <c r="C111" s="385" t="s">
        <v>13</v>
      </c>
      <c r="D111" s="386"/>
      <c r="E111" s="94">
        <f>MAIN!$J$12+E178+E156/2</f>
        <v>32</v>
      </c>
      <c r="F111" s="390"/>
      <c r="G111" s="94">
        <f>MAIN!$J$11+G178+G156/2</f>
        <v>32</v>
      </c>
      <c r="H111" s="390"/>
      <c r="I111" s="94">
        <f>MAIN!$J$12+I178+I156/2</f>
        <v>32</v>
      </c>
      <c r="J111" s="759"/>
      <c r="K111" s="469"/>
    </row>
    <row r="112" spans="1:11" ht="15.75">
      <c r="A112" s="465"/>
      <c r="B112" s="384" t="s">
        <v>245</v>
      </c>
      <c r="C112" s="385" t="s">
        <v>11</v>
      </c>
      <c r="D112" s="386"/>
      <c r="E112" s="94">
        <f>MAX(0.001,MIN(700*(E110-E111)/E110,MAIN!$C$12/MAIN!$F$12)-IF(0.9*E110&gt;E111,0.67*MAIN!$C$11/MAIN!$F$13,0))</f>
        <v>0.001</v>
      </c>
      <c r="F112" s="390"/>
      <c r="G112" s="94">
        <f>MAX(0.001,MIN(700*(G110-G111)/G110,MAIN!$C$12/MAIN!$F$12)-IF(0.9*G110&gt;G111,0.67*MAIN!$C$11/MAIN!$F$13,0))</f>
        <v>0.001</v>
      </c>
      <c r="H112" s="390"/>
      <c r="I112" s="94">
        <f>MAX(0.001,MIN(700*(I110-I111)/I110,MAIN!$C$12/MAIN!$F$12)-IF(0.9*I110&gt;I111,0.67*MAIN!$C$11/MAIN!$F$13,0))</f>
        <v>0.001</v>
      </c>
      <c r="J112" s="750" t="s">
        <v>241</v>
      </c>
      <c r="K112" s="469"/>
    </row>
    <row r="113" spans="1:11" ht="15.75">
      <c r="A113" s="465"/>
      <c r="B113" s="384" t="s">
        <v>246</v>
      </c>
      <c r="C113" s="385" t="s">
        <v>236</v>
      </c>
      <c r="D113" s="386"/>
      <c r="E113" s="93">
        <f>MAX(0,E102-E107)</f>
        <v>0</v>
      </c>
      <c r="F113" s="386"/>
      <c r="G113" s="93">
        <f>MAX(0,G102-MAX(G106:G107))</f>
        <v>0</v>
      </c>
      <c r="H113" s="386"/>
      <c r="I113" s="93">
        <f>MAX(0,I102-I107)</f>
        <v>0</v>
      </c>
      <c r="J113" s="759"/>
      <c r="K113" s="468"/>
    </row>
    <row r="114" spans="1:11" ht="15.75">
      <c r="A114" s="465"/>
      <c r="B114" s="384" t="s">
        <v>247</v>
      </c>
      <c r="C114" s="385" t="s">
        <v>109</v>
      </c>
      <c r="D114" s="386"/>
      <c r="E114" s="96">
        <f>1000000*E113/E112/(E103-E111)</f>
        <v>0</v>
      </c>
      <c r="F114" s="391"/>
      <c r="G114" s="96">
        <f>1000000*G113/G112/(G103-G111)</f>
        <v>0</v>
      </c>
      <c r="H114" s="391"/>
      <c r="I114" s="96">
        <f>1000000*I113/I112/(I103-I111)</f>
        <v>0</v>
      </c>
      <c r="J114" s="759"/>
      <c r="K114" s="472"/>
    </row>
    <row r="115" spans="1:11" ht="15.75">
      <c r="A115" s="465"/>
      <c r="B115" s="384" t="s">
        <v>248</v>
      </c>
      <c r="C115" s="385" t="s">
        <v>11</v>
      </c>
      <c r="D115" s="386"/>
      <c r="E115" s="94">
        <f>MIN(700*(E103-E110)/E110,MAIN!$C$12/MAIN!$F$12)</f>
        <v>438.0952380952381</v>
      </c>
      <c r="F115" s="390"/>
      <c r="G115" s="94">
        <f>MIN(700*(G103-G110)/G110,MAIN!$C$12/MAIN!$F$12)</f>
        <v>438.0952380952381</v>
      </c>
      <c r="H115" s="390"/>
      <c r="I115" s="94">
        <f>MIN(700*(I103-I110)/I110,MAIN!$C$12/MAIN!$F$12)</f>
        <v>438.0952380952381</v>
      </c>
      <c r="J115" s="750" t="s">
        <v>241</v>
      </c>
      <c r="K115" s="469"/>
    </row>
    <row r="116" spans="1:11" ht="15.75">
      <c r="A116" s="465"/>
      <c r="B116" s="384" t="s">
        <v>249</v>
      </c>
      <c r="C116" s="385" t="s">
        <v>109</v>
      </c>
      <c r="D116" s="386"/>
      <c r="E116" s="96">
        <f>1000000/E115*(E102-E113)/E109+E114*E112/E115</f>
        <v>324.4100003111746</v>
      </c>
      <c r="F116" s="386"/>
      <c r="G116" s="96">
        <f>1000000/G115*(G102-G113)/G109+G114*G112/G115</f>
        <v>563.6028463896231</v>
      </c>
      <c r="H116" s="386"/>
      <c r="I116" s="96">
        <f>1000000/I115*(I102-I113)/I109+I114*I112/I115</f>
        <v>753.2168809764262</v>
      </c>
      <c r="J116" s="759"/>
      <c r="K116" s="472"/>
    </row>
    <row r="117" spans="1:11" ht="15.75">
      <c r="A117" s="465"/>
      <c r="B117" s="384" t="s">
        <v>250</v>
      </c>
      <c r="C117" s="385"/>
      <c r="D117" s="386"/>
      <c r="E117" s="93"/>
      <c r="F117" s="386"/>
      <c r="G117" s="93">
        <f>I98/G104</f>
        <v>0.18611111111111112</v>
      </c>
      <c r="H117" s="386"/>
      <c r="I117" s="93"/>
      <c r="J117" s="750"/>
      <c r="K117" s="468"/>
    </row>
    <row r="118" spans="1:11" ht="15.75">
      <c r="A118" s="465"/>
      <c r="B118" s="384" t="s">
        <v>251</v>
      </c>
      <c r="C118" s="385" t="s">
        <v>252</v>
      </c>
      <c r="D118" s="386"/>
      <c r="E118" s="97">
        <f>MAX(0.0013,MIN(0.0024,0.0024-0.0011*(MAIN!$C$12-250)/210))</f>
        <v>0.0013</v>
      </c>
      <c r="F118" s="392"/>
      <c r="G118" s="97">
        <f>IF(MAIN!C$12&gt;=460,IF(G117&lt;0.4,0.0018,0.0013),IF(MAIN!C$12&gt;=425,IF(G117&lt;0.4,0.0021,0.0015),IF(G117&lt;0.4,0.0032,0.0024)))</f>
        <v>0.0018</v>
      </c>
      <c r="H118" s="392"/>
      <c r="I118" s="97">
        <f>MAX(0.0013,MIN(0.0024,0.0024-0.0011*(MAIN!$C$12-250)/210))</f>
        <v>0.0013</v>
      </c>
      <c r="J118" s="750" t="s">
        <v>323</v>
      </c>
      <c r="K118" s="473"/>
    </row>
    <row r="119" spans="1:11" ht="15.75">
      <c r="A119" s="465"/>
      <c r="B119" s="384" t="s">
        <v>253</v>
      </c>
      <c r="C119" s="385" t="s">
        <v>109</v>
      </c>
      <c r="D119" s="386"/>
      <c r="E119" s="96">
        <f>E118*E104*I97</f>
        <v>321.75</v>
      </c>
      <c r="F119" s="386"/>
      <c r="G119" s="96">
        <f>G118*I97*I98</f>
        <v>82.9125</v>
      </c>
      <c r="H119" s="386"/>
      <c r="I119" s="96">
        <f>I118*I104*I97</f>
        <v>321.75</v>
      </c>
      <c r="J119" s="759"/>
      <c r="K119" s="472"/>
    </row>
    <row r="120" spans="1:11" ht="15.75">
      <c r="A120" s="465"/>
      <c r="B120" s="393" t="s">
        <v>254</v>
      </c>
      <c r="C120" s="394"/>
      <c r="D120" s="386"/>
      <c r="E120" s="633" t="s">
        <v>255</v>
      </c>
      <c r="F120" s="395">
        <f>E103+E141/2-G141/2</f>
        <v>239</v>
      </c>
      <c r="G120" s="380" t="s">
        <v>256</v>
      </c>
      <c r="H120" s="395">
        <f>E111-E156/2+G141/2</f>
        <v>36</v>
      </c>
      <c r="I120" s="762"/>
      <c r="J120" s="750"/>
      <c r="K120" s="468"/>
    </row>
    <row r="121" spans="1:11" ht="15.75">
      <c r="A121" s="465"/>
      <c r="B121" s="384" t="s">
        <v>234</v>
      </c>
      <c r="C121" s="385" t="s">
        <v>87</v>
      </c>
      <c r="D121" s="386"/>
      <c r="E121" s="92">
        <f>MAX(0,Graf!X47)</f>
        <v>13.661105796201142</v>
      </c>
      <c r="F121" s="388"/>
      <c r="G121" s="92">
        <f>MAX(0,Graf!H47,Graf!R47)</f>
        <v>35.05752141368721</v>
      </c>
      <c r="H121" s="388"/>
      <c r="I121" s="92">
        <f>MAX(0,Graf!Y47)</f>
        <v>49.30343508871513</v>
      </c>
      <c r="J121" s="759"/>
      <c r="K121" s="468"/>
    </row>
    <row r="122" spans="1:11" ht="15.75">
      <c r="A122" s="465"/>
      <c r="B122" s="384" t="s">
        <v>235</v>
      </c>
      <c r="C122" s="385" t="s">
        <v>236</v>
      </c>
      <c r="D122" s="386"/>
      <c r="E122" s="93">
        <f>MAIN!$J$17/1000*E121</f>
        <v>12.294995216581027</v>
      </c>
      <c r="F122" s="386"/>
      <c r="G122" s="93">
        <f>MAIN!$J$17/1000*G121</f>
        <v>31.55176927231849</v>
      </c>
      <c r="H122" s="386"/>
      <c r="I122" s="93">
        <f>MAIN!$J$17/1000*I121</f>
        <v>44.373091579843624</v>
      </c>
      <c r="J122" s="759"/>
      <c r="K122" s="468"/>
    </row>
    <row r="123" spans="1:11" ht="15.75">
      <c r="A123" s="465"/>
      <c r="B123" s="384" t="s">
        <v>238</v>
      </c>
      <c r="C123" s="385" t="s">
        <v>13</v>
      </c>
      <c r="D123" s="386"/>
      <c r="E123" s="80">
        <f>MAIN!J$16</f>
        <v>150</v>
      </c>
      <c r="F123" s="52"/>
      <c r="G123" s="80">
        <f>E123</f>
        <v>150</v>
      </c>
      <c r="H123" s="52"/>
      <c r="I123" s="80">
        <f>G123</f>
        <v>150</v>
      </c>
      <c r="J123" s="750"/>
      <c r="K123" s="468"/>
    </row>
    <row r="124" spans="1:11" ht="15.75">
      <c r="A124" s="465"/>
      <c r="B124" s="384" t="s">
        <v>39</v>
      </c>
      <c r="C124" s="385"/>
      <c r="D124" s="386"/>
      <c r="E124" s="95">
        <f>1000000*E122/E123/MAIN!$C$11/E103^2</f>
        <v>0.04099899950591444</v>
      </c>
      <c r="F124" s="389"/>
      <c r="G124" s="95">
        <f>1000000*G122/G123/MAIN!$C$11/F120^2</f>
        <v>0.10521280814017524</v>
      </c>
      <c r="H124" s="389"/>
      <c r="I124" s="95">
        <f>1000000*I122/I123/MAIN!$C$11/I103^2</f>
        <v>0.14796690260639236</v>
      </c>
      <c r="J124" s="750" t="s">
        <v>240</v>
      </c>
      <c r="K124" s="468"/>
    </row>
    <row r="125" spans="1:11" ht="15.75">
      <c r="A125" s="465"/>
      <c r="B125" s="384" t="s">
        <v>242</v>
      </c>
      <c r="C125" s="385" t="s">
        <v>13</v>
      </c>
      <c r="D125" s="386"/>
      <c r="E125" s="93">
        <f>E103*MIN(0.5+SQRT(0.25-MIN(E124,E105)/0.9),0.95)</f>
        <v>227.04999999999998</v>
      </c>
      <c r="F125" s="386"/>
      <c r="G125" s="93">
        <f>F120*MIN(0.5+SQRT(0.25-MIN(G124,G105)/0.9),0.95)</f>
        <v>206.6930437224403</v>
      </c>
      <c r="H125" s="386"/>
      <c r="I125" s="93">
        <f>I103*MIN(0.5+SQRT(0.25-MIN(I124,I105)/0.9),0.95)</f>
        <v>191.00055594189462</v>
      </c>
      <c r="J125" s="759" t="s">
        <v>237</v>
      </c>
      <c r="K125" s="468"/>
    </row>
    <row r="126" spans="1:11" ht="15.75">
      <c r="A126" s="465"/>
      <c r="B126" s="384" t="s">
        <v>243</v>
      </c>
      <c r="C126" s="385" t="s">
        <v>13</v>
      </c>
      <c r="D126" s="386"/>
      <c r="E126" s="93">
        <f>(E103-E125)/0.45</f>
        <v>26.555555555555593</v>
      </c>
      <c r="F126" s="386"/>
      <c r="G126" s="93">
        <f>(F120-G125)/0.45</f>
        <v>71.79323617235487</v>
      </c>
      <c r="H126" s="386"/>
      <c r="I126" s="93">
        <f>(I103-I125)/0.45</f>
        <v>106.66543124023418</v>
      </c>
      <c r="J126" s="759" t="s">
        <v>237</v>
      </c>
      <c r="K126" s="468"/>
    </row>
    <row r="127" spans="1:11" ht="15.75">
      <c r="A127" s="465"/>
      <c r="B127" s="384" t="s">
        <v>245</v>
      </c>
      <c r="C127" s="385" t="s">
        <v>11</v>
      </c>
      <c r="D127" s="386"/>
      <c r="E127" s="94">
        <f>MAX(0.001,MIN(700*(E126-E111)/E126,MAIN!$C$12/MAIN!$F$12)-IF(0.9*E126&gt;E111,0.67*MAIN!$C$11/MAIN!$F$13,0))</f>
        <v>0.001</v>
      </c>
      <c r="F127" s="386"/>
      <c r="G127" s="94">
        <f>MAX(0.001,MIN(700*(G126-H120)/G126,MAIN!$C$12/MAIN!$F$12)-IF(0.9*G126&gt;H120,0.67*MAIN!$C$11/MAIN!$F$13,0))</f>
        <v>333.3586700428334</v>
      </c>
      <c r="H127" s="386"/>
      <c r="I127" s="94">
        <f>MAX(0.001,MIN(700*(I126-I111)/I126,MAIN!$C$12/MAIN!$F$12)-IF(0.9*I126&gt;I111,0.67*MAIN!$C$11/MAIN!$F$13,0))</f>
        <v>422.46190476190475</v>
      </c>
      <c r="J127" s="750" t="s">
        <v>241</v>
      </c>
      <c r="K127" s="468"/>
    </row>
    <row r="128" spans="1:11" ht="15.75">
      <c r="A128" s="465"/>
      <c r="B128" s="384" t="s">
        <v>246</v>
      </c>
      <c r="C128" s="385" t="s">
        <v>236</v>
      </c>
      <c r="D128" s="386"/>
      <c r="E128" s="93">
        <f>MAX(0,E122-E106)</f>
        <v>0</v>
      </c>
      <c r="F128" s="386"/>
      <c r="G128" s="93">
        <f>MAX(0,G122-G106)</f>
        <v>0</v>
      </c>
      <c r="H128" s="386"/>
      <c r="I128" s="93">
        <f>MAX(0,I122-I106)</f>
        <v>1.0546672173436136</v>
      </c>
      <c r="J128" s="750"/>
      <c r="K128" s="468"/>
    </row>
    <row r="129" spans="1:11" ht="15.75">
      <c r="A129" s="465"/>
      <c r="B129" s="384" t="s">
        <v>247</v>
      </c>
      <c r="C129" s="385" t="s">
        <v>109</v>
      </c>
      <c r="D129" s="386"/>
      <c r="E129" s="96">
        <f>1000000*MIN(E128/E127/(E103-E111),E122/MAIN!$C$12*MAIN!$F$12/(E103-E111))</f>
        <v>0</v>
      </c>
      <c r="F129" s="386"/>
      <c r="G129" s="96">
        <f>1000000*MIN(G128/G127/(F120-H120),G122/MAIN!$C$12*MAIN!$F$12/(F120-H120))</f>
        <v>0</v>
      </c>
      <c r="H129" s="386"/>
      <c r="I129" s="96">
        <f>1000000*MIN(I128/I127/(I103-I111),I122/MAIN!$C$12*MAIN!$F$12/(I103-I111))</f>
        <v>12.060284381561914</v>
      </c>
      <c r="J129" s="750"/>
      <c r="K129" s="468"/>
    </row>
    <row r="130" spans="1:11" ht="15.75">
      <c r="A130" s="465"/>
      <c r="B130" s="384" t="s">
        <v>248</v>
      </c>
      <c r="C130" s="385" t="s">
        <v>11</v>
      </c>
      <c r="D130" s="386"/>
      <c r="E130" s="94">
        <f>MIN(700*(E103-E126)/E126,MAIN!$C$12/MAIN!$F$12)</f>
        <v>438.0952380952381</v>
      </c>
      <c r="F130" s="386"/>
      <c r="G130" s="94">
        <f>MIN(700*(F120-G126)/G126,MAIN!$C$12/MAIN!$F$12)</f>
        <v>438.0952380952381</v>
      </c>
      <c r="H130" s="386"/>
      <c r="I130" s="94">
        <f>MIN(700*(I103-I126)/I126,MAIN!$C$12/MAIN!$F$12)</f>
        <v>438.0952380952381</v>
      </c>
      <c r="J130" s="750" t="s">
        <v>241</v>
      </c>
      <c r="K130" s="468"/>
    </row>
    <row r="131" spans="1:11" ht="16.5" thickBot="1">
      <c r="A131" s="465"/>
      <c r="B131" s="641" t="s">
        <v>249</v>
      </c>
      <c r="C131" s="642" t="s">
        <v>109</v>
      </c>
      <c r="D131" s="652"/>
      <c r="E131" s="653">
        <f>1000000*MIN((E122-E128)/E125/E130+E129*E127/E130,E122/MAIN!$C$12*MAIN!$F$12/(E103-E111))</f>
        <v>123.60565071292551</v>
      </c>
      <c r="F131" s="652"/>
      <c r="G131" s="653">
        <f>1000000*MIN((G122-G128)/G125/G130+G129*G127/G130,G122/MAIN!$C$12*MAIN!$F$12/(F120-H120))</f>
        <v>348.4410583305283</v>
      </c>
      <c r="H131" s="652"/>
      <c r="I131" s="653">
        <f>1000000*MIN((I122-I128)/I125/I130+I129*I127/I130,I122/MAIN!$C$12*MAIN!$F$12/(I103-I111))</f>
        <v>489.3063028653204</v>
      </c>
      <c r="J131" s="760"/>
      <c r="K131" s="468"/>
    </row>
    <row r="132" spans="1:11" ht="18">
      <c r="A132" s="465"/>
      <c r="B132" s="539" t="str">
        <f>B$2</f>
        <v> Project</v>
      </c>
      <c r="C132" s="540" t="str">
        <f>C$2</f>
        <v>Spreadsheets to BS 8110</v>
      </c>
      <c r="D132" s="542"/>
      <c r="E132" s="542"/>
      <c r="F132" s="542"/>
      <c r="G132" s="541"/>
      <c r="H132" s="542"/>
      <c r="I132" s="542"/>
      <c r="J132" s="753"/>
      <c r="K132" s="468"/>
    </row>
    <row r="133" spans="1:11" ht="18">
      <c r="A133" s="465"/>
      <c r="B133" s="543" t="str">
        <f>B$3</f>
        <v> Location</v>
      </c>
      <c r="C133" s="544" t="str">
        <f>C$3</f>
        <v>3rd Floor slab,  from 1 to 5a</v>
      </c>
      <c r="D133" s="545"/>
      <c r="E133" s="545"/>
      <c r="F133" s="545"/>
      <c r="G133" s="558" t="s">
        <v>409</v>
      </c>
      <c r="H133" s="545"/>
      <c r="I133" s="545"/>
      <c r="J133" s="754"/>
      <c r="K133" s="468"/>
    </row>
    <row r="134" spans="1:11" ht="15.75">
      <c r="A134" s="465"/>
      <c r="B134" s="546"/>
      <c r="C134" s="547" t="str">
        <f>C$4</f>
        <v>RIBBED SLABS to BS 8110:1997 (Analysis &amp; Design)</v>
      </c>
      <c r="D134" s="545"/>
      <c r="E134" s="545"/>
      <c r="F134" s="545"/>
      <c r="G134" s="122"/>
      <c r="H134" s="122"/>
      <c r="I134" s="122"/>
      <c r="J134" s="766" t="str">
        <f>J$4</f>
        <v>Made by  rmw    Job No  R68</v>
      </c>
      <c r="K134" s="468"/>
    </row>
    <row r="135" spans="1:11" ht="16.5" thickBot="1">
      <c r="A135" s="465"/>
      <c r="B135" s="549"/>
      <c r="C135" s="550" t="str">
        <f>C$5</f>
        <v>Originated from  RCC32.xls v2.2 on CD               © 2000-2003 BCA for RCC</v>
      </c>
      <c r="D135" s="552"/>
      <c r="E135" s="552"/>
      <c r="F135" s="552"/>
      <c r="G135" s="551"/>
      <c r="H135" s="551"/>
      <c r="I135" s="553" t="str">
        <f>I$5</f>
        <v> Date</v>
      </c>
      <c r="J135" s="767">
        <f>J$5</f>
        <v>39305</v>
      </c>
      <c r="K135" s="468"/>
    </row>
    <row r="136" spans="1:11" ht="15.75">
      <c r="A136" s="465"/>
      <c r="B136" s="384" t="s">
        <v>410</v>
      </c>
      <c r="C136" s="385"/>
      <c r="D136" s="396"/>
      <c r="E136" s="385"/>
      <c r="F136" s="385"/>
      <c r="G136" s="385"/>
      <c r="H136" s="385"/>
      <c r="I136" s="640"/>
      <c r="J136" s="748"/>
      <c r="K136" s="468"/>
    </row>
    <row r="137" spans="1:11" ht="15.75">
      <c r="A137" s="465"/>
      <c r="B137" s="384"/>
      <c r="C137" s="385"/>
      <c r="D137" s="396"/>
      <c r="E137" s="673"/>
      <c r="F137" s="385"/>
      <c r="G137" s="673"/>
      <c r="H137" s="385"/>
      <c r="I137" s="674"/>
      <c r="J137" s="750"/>
      <c r="K137" s="468"/>
    </row>
    <row r="138" spans="1:11" ht="15.75">
      <c r="A138" s="465"/>
      <c r="B138" s="382" t="s">
        <v>257</v>
      </c>
      <c r="C138" s="394"/>
      <c r="D138" s="386"/>
      <c r="E138" s="93"/>
      <c r="F138" s="386"/>
      <c r="G138" s="93"/>
      <c r="H138" s="386"/>
      <c r="I138" s="761"/>
      <c r="J138" s="750"/>
      <c r="K138" s="468"/>
    </row>
    <row r="139" spans="1:11" ht="15.75">
      <c r="A139" s="465"/>
      <c r="B139" s="384" t="s">
        <v>258</v>
      </c>
      <c r="C139" s="385" t="s">
        <v>109</v>
      </c>
      <c r="D139" s="386"/>
      <c r="E139" s="96">
        <f>E116*(1+E169)</f>
        <v>324.4100003111746</v>
      </c>
      <c r="F139" s="391"/>
      <c r="G139" s="96">
        <f>G116*(1+G169)</f>
        <v>630.2001648213683</v>
      </c>
      <c r="H139" s="391"/>
      <c r="I139" s="96">
        <f>I116*(1+I169)</f>
        <v>753.2168809764262</v>
      </c>
      <c r="J139" s="750"/>
      <c r="K139" s="468"/>
    </row>
    <row r="140" spans="1:11" ht="15.75">
      <c r="A140" s="465"/>
      <c r="B140" s="384" t="s">
        <v>259</v>
      </c>
      <c r="C140" s="385" t="s">
        <v>109</v>
      </c>
      <c r="D140" s="386"/>
      <c r="E140" s="96">
        <f>MAX(E149*$I97*$I98,E131*(1+E169))</f>
        <v>123.60565071292551</v>
      </c>
      <c r="F140" s="391"/>
      <c r="G140" s="96">
        <f>MAX(G139,G119,G131)</f>
        <v>630.2001648213683</v>
      </c>
      <c r="H140" s="391"/>
      <c r="I140" s="96">
        <f>MAX(I149*$I97*$I98,I131*(1+I169))</f>
        <v>489.3063028653204</v>
      </c>
      <c r="J140" s="750"/>
      <c r="K140" s="468"/>
    </row>
    <row r="141" spans="1:11" ht="15.75">
      <c r="A141" s="465"/>
      <c r="B141" s="384" t="s">
        <v>374</v>
      </c>
      <c r="C141" s="385" t="s">
        <v>13</v>
      </c>
      <c r="D141" s="737" t="str">
        <f>IF(MAIN!$J$11+E178&lt;E141,"! ! !","ok")</f>
        <v>ok</v>
      </c>
      <c r="E141" s="80">
        <f>SPANS!F35</f>
        <v>20</v>
      </c>
      <c r="F141" s="737" t="str">
        <f>IF(MIN(MAIN!$J$12,MAIN!$J$13)+G178&lt;G141,"! ! !","ok")</f>
        <v>ok</v>
      </c>
      <c r="G141" s="80">
        <f>SPANS!I38</f>
        <v>20</v>
      </c>
      <c r="H141" s="737" t="str">
        <f>IF(MAIN!$J$11+I178&lt;I141,"! ! !","ok")</f>
        <v>ok</v>
      </c>
      <c r="I141" s="80">
        <f>SPANS!L35</f>
        <v>20</v>
      </c>
      <c r="J141" s="750"/>
      <c r="K141" s="403" t="str">
        <f>IF(AND(AND(D141="ok",F141="ok"),H141="ok"),"","Inadequate Cover")</f>
        <v></v>
      </c>
    </row>
    <row r="142" spans="1:11" ht="15.75">
      <c r="A142" s="465"/>
      <c r="B142" s="384" t="s">
        <v>136</v>
      </c>
      <c r="C142" s="385"/>
      <c r="D142" s="738"/>
      <c r="E142" s="80">
        <f>MAX(2,CEILING(E140/PI()*4/E141^2,1))</f>
        <v>2</v>
      </c>
      <c r="F142" s="738"/>
      <c r="G142" s="80">
        <f>MAX(1,CEILING(G140/PI()*4/G141^2,1))</f>
        <v>3</v>
      </c>
      <c r="H142" s="738"/>
      <c r="I142" s="80">
        <f>MAX(2,CEILING(I140/PI()*4/I141^2,1))</f>
        <v>2</v>
      </c>
      <c r="J142" s="750"/>
      <c r="K142" s="468"/>
    </row>
    <row r="143" spans="1:11" ht="15.75">
      <c r="A143" s="465"/>
      <c r="B143" s="384" t="s">
        <v>112</v>
      </c>
      <c r="C143" s="385" t="s">
        <v>109</v>
      </c>
      <c r="D143" s="738"/>
      <c r="E143" s="96">
        <f>PI()/4*E141^2*E142</f>
        <v>628.3185307179587</v>
      </c>
      <c r="F143" s="739"/>
      <c r="G143" s="96">
        <f>PI()/4*G141^2*G142</f>
        <v>942.4777960769379</v>
      </c>
      <c r="H143" s="739"/>
      <c r="I143" s="96">
        <f>PI()/4*I141^2*I142</f>
        <v>628.3185307179587</v>
      </c>
      <c r="J143" s="750" t="str">
        <f>IF(Analysis!I100&gt;4,"! ! !"," ")</f>
        <v> </v>
      </c>
      <c r="K143" s="468"/>
    </row>
    <row r="144" spans="1:11" ht="15.75">
      <c r="A144" s="465"/>
      <c r="B144" s="384" t="s">
        <v>261</v>
      </c>
      <c r="C144" s="385" t="s">
        <v>252</v>
      </c>
      <c r="D144" s="737" t="str">
        <f>IF(E144&gt;4,"! ! !","ok")</f>
        <v>ok</v>
      </c>
      <c r="E144" s="98">
        <f>100*E143/E103/I98</f>
        <v>1.5695210909085333</v>
      </c>
      <c r="F144" s="737" t="str">
        <f>IF(G144&gt;4,"! ! !","ok")</f>
        <v>ok</v>
      </c>
      <c r="G144" s="98">
        <f>100*G143/G103/I98</f>
        <v>2.3542816363628</v>
      </c>
      <c r="H144" s="737" t="str">
        <f>IF(I144&gt;4,"! ! !","ok")</f>
        <v>ok</v>
      </c>
      <c r="I144" s="98">
        <f>100*I143/I103/I98</f>
        <v>1.5695210909085333</v>
      </c>
      <c r="J144" s="755"/>
      <c r="K144" s="403" t="str">
        <f>IF(AND(AND(D144="ok",F144="ok"),H144="ok"),"","As &gt; 4%")</f>
        <v></v>
      </c>
    </row>
    <row r="145" spans="1:11" ht="15.75">
      <c r="A145" s="465"/>
      <c r="B145" s="384" t="s">
        <v>262</v>
      </c>
      <c r="C145" s="385" t="s">
        <v>13</v>
      </c>
      <c r="D145" s="738"/>
      <c r="E145" s="94">
        <f>(MAIN!$J$16+2/MAIN!$J$18*E103-2*(MAIN!$J$13+E178)-E142*E141)/(E142-1)</f>
        <v>105.80000000000001</v>
      </c>
      <c r="F145" s="740"/>
      <c r="G145" s="94">
        <f>IF(G142=1,G146,(MAIN!$J$16+2/MAIN!$J$18*(I97-G103)-2*(MAIN!$J$13+G178)-G142*G141)/(G142-1))</f>
        <v>22.599999999999994</v>
      </c>
      <c r="H145" s="740"/>
      <c r="I145" s="94">
        <f>(MAIN!$J$16+2/MAIN!$J$18*I103-2*(MAIN!$J$13+I178)-I142*I141)/(I142-1)</f>
        <v>105.80000000000001</v>
      </c>
      <c r="J145" s="750" t="s">
        <v>263</v>
      </c>
      <c r="K145" s="468"/>
    </row>
    <row r="146" spans="1:11" ht="15.75">
      <c r="A146" s="465"/>
      <c r="B146" s="384" t="s">
        <v>264</v>
      </c>
      <c r="C146" s="385" t="s">
        <v>13</v>
      </c>
      <c r="D146" s="737" t="str">
        <f>IF(E145&lt;E146,"! ! !","ok")</f>
        <v>ok</v>
      </c>
      <c r="E146" s="94">
        <f>MAX(E141,MAIN!$F$11+5)</f>
        <v>25</v>
      </c>
      <c r="F146" s="737" t="str">
        <f>IF(G145&lt;G146,"! ! !","ok")</f>
        <v>! ! !</v>
      </c>
      <c r="G146" s="94">
        <f>MAX(G141,MAIN!$F$11+5)</f>
        <v>25</v>
      </c>
      <c r="H146" s="737" t="str">
        <f>IF(I145&lt;I146,"! ! !","ok")</f>
        <v>ok</v>
      </c>
      <c r="I146" s="94">
        <f>MAX(I141,MAIN!$F$11+5)</f>
        <v>25</v>
      </c>
      <c r="J146" s="750" t="s">
        <v>265</v>
      </c>
      <c r="K146" s="403" t="str">
        <f>IF(AND(AND(D146="ok",F146="ok"),H146="ok"),"","Min spacing fails")</f>
        <v>Min spacing fails</v>
      </c>
    </row>
    <row r="147" spans="1:11" ht="15.75">
      <c r="A147" s="465"/>
      <c r="B147" s="384" t="s">
        <v>266</v>
      </c>
      <c r="C147" s="385" t="s">
        <v>13</v>
      </c>
      <c r="D147" s="737" t="str">
        <f>IF(E145&gt;E147,"! ! !","ok")</f>
        <v>ok</v>
      </c>
      <c r="E147" s="94">
        <f>MIN(300,70000*$E100/MAIN!$C$12)</f>
        <v>152.17391304347825</v>
      </c>
      <c r="F147" s="737" t="str">
        <f>IF(G145&gt;G147,"! ! !","ok")</f>
        <v>ok</v>
      </c>
      <c r="G147" s="94">
        <f>MIN(47000/G163,300)</f>
        <v>240.13225263248316</v>
      </c>
      <c r="H147" s="737" t="str">
        <f>IF(I145&gt;I147,"! ! !","ok")</f>
        <v>ok</v>
      </c>
      <c r="I147" s="94">
        <f>E147</f>
        <v>152.17391304347825</v>
      </c>
      <c r="J147" s="750" t="s">
        <v>267</v>
      </c>
      <c r="K147" s="403" t="str">
        <f>IF(AND(AND(D147="ok",F147="ok"),H147="ok"),"","Max spacing fails")</f>
        <v></v>
      </c>
    </row>
    <row r="148" spans="1:11" ht="15.75">
      <c r="A148" s="465"/>
      <c r="B148" s="477" t="s">
        <v>369</v>
      </c>
      <c r="C148" s="385"/>
      <c r="D148" s="396"/>
      <c r="E148" s="94"/>
      <c r="F148" s="396"/>
      <c r="G148" s="94"/>
      <c r="H148" s="396"/>
      <c r="I148" s="94"/>
      <c r="J148" s="750"/>
      <c r="K148" s="468"/>
    </row>
    <row r="149" spans="1:11" ht="15.75">
      <c r="A149" s="465"/>
      <c r="B149" s="384" t="s">
        <v>370</v>
      </c>
      <c r="C149" s="385" t="s">
        <v>252</v>
      </c>
      <c r="D149" s="396"/>
      <c r="E149" s="97">
        <f>E53</f>
        <v>0.0026</v>
      </c>
      <c r="F149" s="396"/>
      <c r="G149" s="97"/>
      <c r="H149" s="396"/>
      <c r="I149" s="97">
        <f>E149</f>
        <v>0.0026</v>
      </c>
      <c r="J149" s="750"/>
      <c r="K149" s="468"/>
    </row>
    <row r="150" spans="1:11" ht="15.75">
      <c r="A150" s="465"/>
      <c r="B150" s="384" t="s">
        <v>371</v>
      </c>
      <c r="C150" s="385" t="s">
        <v>109</v>
      </c>
      <c r="D150" s="396"/>
      <c r="E150" s="96">
        <f>MAX(0,MAX(E116,E139,E119)-E143)</f>
        <v>0</v>
      </c>
      <c r="F150" s="479"/>
      <c r="G150" s="96"/>
      <c r="H150" s="479"/>
      <c r="I150" s="96">
        <f>MAX(0,MAX(I116,I139,I119)-I143)</f>
        <v>124.89835025846753</v>
      </c>
      <c r="J150" s="750"/>
      <c r="K150" s="468"/>
    </row>
    <row r="151" spans="1:11" ht="15.75">
      <c r="A151" s="465"/>
      <c r="B151" s="384" t="s">
        <v>372</v>
      </c>
      <c r="C151" s="385" t="s">
        <v>13</v>
      </c>
      <c r="D151" s="396"/>
      <c r="E151" s="96">
        <f>HLOOKUP(SQRT(4*E150/M152/PI()),L$50:R$51,2)</f>
        <v>8</v>
      </c>
      <c r="F151" s="479"/>
      <c r="G151" s="96"/>
      <c r="H151" s="479"/>
      <c r="I151" s="96">
        <f>HLOOKUP(SQRT(4*I150/N152/PI()),L$50:R$51,2)</f>
        <v>8</v>
      </c>
      <c r="J151" s="750"/>
      <c r="K151" s="468"/>
    </row>
    <row r="152" spans="1:14" ht="15.75">
      <c r="A152" s="465"/>
      <c r="B152" s="384" t="s">
        <v>136</v>
      </c>
      <c r="C152" s="385"/>
      <c r="D152" s="396"/>
      <c r="E152" s="96">
        <f>MAX(M152,CEILING(E150/PI()*4/E151^2,1))</f>
        <v>4</v>
      </c>
      <c r="F152" s="479"/>
      <c r="G152" s="96"/>
      <c r="H152" s="479"/>
      <c r="I152" s="96">
        <f>MAX(N152,CEILING(I150/PI()*4/I151^2,1))</f>
        <v>4</v>
      </c>
      <c r="J152" s="750"/>
      <c r="K152" s="468"/>
      <c r="L152" s="478" t="s">
        <v>373</v>
      </c>
      <c r="M152" s="478">
        <f>MAX(CEILING((MAIN!$J$17-(E145+E141)*(E142-1))/(E147+E141),1)-1,1)</f>
        <v>4</v>
      </c>
      <c r="N152" s="478">
        <f>MAX(CEILING((MAIN!$J$17-(I145+I141)*(I142-1))/(I147+I141),1)-1,1)</f>
        <v>4</v>
      </c>
    </row>
    <row r="153" spans="1:11" ht="15.75">
      <c r="A153" s="465"/>
      <c r="B153" s="384" t="s">
        <v>112</v>
      </c>
      <c r="C153" s="385" t="s">
        <v>109</v>
      </c>
      <c r="D153" s="396"/>
      <c r="E153" s="96">
        <f>IF(G97=0,0,PI()/4*E151^2*E152)</f>
        <v>201.06192982974676</v>
      </c>
      <c r="F153" s="396"/>
      <c r="G153" s="94"/>
      <c r="H153" s="396"/>
      <c r="I153" s="96">
        <f>PI()/4*I151^2*I152</f>
        <v>201.06192982974676</v>
      </c>
      <c r="J153" s="750"/>
      <c r="K153" s="468"/>
    </row>
    <row r="154" spans="1:11" ht="15.75">
      <c r="A154" s="465"/>
      <c r="B154" s="382" t="s">
        <v>268</v>
      </c>
      <c r="C154" s="394"/>
      <c r="D154" s="386"/>
      <c r="E154" s="93"/>
      <c r="F154" s="386"/>
      <c r="G154" s="93"/>
      <c r="H154" s="386"/>
      <c r="I154" s="93"/>
      <c r="J154" s="750"/>
      <c r="K154" s="468"/>
    </row>
    <row r="155" spans="1:11" ht="15.75">
      <c r="A155" s="465"/>
      <c r="B155" s="384" t="s">
        <v>269</v>
      </c>
      <c r="C155" s="385" t="s">
        <v>109</v>
      </c>
      <c r="D155" s="386"/>
      <c r="E155" s="96">
        <f>MAX(IF(E102=0,0.5,0.3)*$G143,IF(E128=0,0,MAX(E114,E129,0.002*I98*I97)))</f>
        <v>282.7433388230814</v>
      </c>
      <c r="F155" s="386"/>
      <c r="G155" s="96">
        <f>MAX(G114,G131,IF(G113=0,0,0.004*I97*G104),IF(G131=0,0,IF(MAIN!C$12&lt;425,0.0024,0.0013)*I98*I97))</f>
        <v>348.4410583305283</v>
      </c>
      <c r="H155" s="386"/>
      <c r="I155" s="96">
        <f>MAX(IF(I102=0,0.5,0.3)*$G143,IF(I128=0,0,MAX(I114,I129,0.002*I98*I97)))</f>
        <v>282.7433388230814</v>
      </c>
      <c r="J155" s="750" t="s">
        <v>323</v>
      </c>
      <c r="K155" s="468"/>
    </row>
    <row r="156" spans="1:11" ht="15.75">
      <c r="A156" s="465"/>
      <c r="B156" s="384" t="s">
        <v>260</v>
      </c>
      <c r="C156" s="385" t="s">
        <v>13</v>
      </c>
      <c r="D156" s="737" t="str">
        <f>IF(MIN(MAIN!$J$12,MAIN!$J$13)+E178&lt;E156,"! ! !","ok")</f>
        <v>ok</v>
      </c>
      <c r="E156" s="80">
        <f>SPANS!F38</f>
        <v>12</v>
      </c>
      <c r="F156" s="737" t="str">
        <f>IF(MAIN!$J$11+G178&lt;G156,"! ! !","ok")</f>
        <v>ok</v>
      </c>
      <c r="G156" s="80">
        <f>SPANS!I35</f>
        <v>12</v>
      </c>
      <c r="H156" s="737" t="str">
        <f>IF(MIN(MAIN!$J$12,MAIN!$J$13)+I178&lt;I156,"! ! !","ok")</f>
        <v>ok</v>
      </c>
      <c r="I156" s="80">
        <f>SPANS!L38</f>
        <v>12</v>
      </c>
      <c r="J156" s="750"/>
      <c r="K156" s="403" t="str">
        <f>IF(AND(AND(D156="ok",F156="ok"),H156="ok"),"","Inadequate Cover")</f>
        <v></v>
      </c>
    </row>
    <row r="157" spans="1:11" ht="15.75">
      <c r="A157" s="465"/>
      <c r="B157" s="384" t="s">
        <v>136</v>
      </c>
      <c r="C157" s="385"/>
      <c r="D157" s="738"/>
      <c r="E157" s="80">
        <f>MAX(1,CEILING(E155/PI()*4/E156^2,1))</f>
        <v>3</v>
      </c>
      <c r="F157" s="738"/>
      <c r="G157" s="80">
        <f>IF(G156=0,0,MAX(1,CEILING(G155/PI()*4/G156^2,1)))</f>
        <v>4</v>
      </c>
      <c r="H157" s="738"/>
      <c r="I157" s="80">
        <f>MAX(1,CEILING(I155/PI()*4/I156^2,1))</f>
        <v>3</v>
      </c>
      <c r="J157" s="750"/>
      <c r="K157" s="468"/>
    </row>
    <row r="158" spans="1:11" ht="15.75">
      <c r="A158" s="465"/>
      <c r="B158" s="384" t="s">
        <v>114</v>
      </c>
      <c r="C158" s="385" t="s">
        <v>109</v>
      </c>
      <c r="D158" s="738"/>
      <c r="E158" s="96">
        <f>PI()/4*E156^2*E157</f>
        <v>339.29200658769764</v>
      </c>
      <c r="F158" s="738"/>
      <c r="G158" s="96">
        <f>PI()/4*G156^2*G157</f>
        <v>452.3893421169302</v>
      </c>
      <c r="H158" s="738"/>
      <c r="I158" s="96">
        <f>PI()/4*I156^2*I157</f>
        <v>339.29200658769764</v>
      </c>
      <c r="J158" s="750"/>
      <c r="K158" s="468"/>
    </row>
    <row r="159" spans="1:11" ht="15.75">
      <c r="A159" s="465"/>
      <c r="B159" s="384" t="s">
        <v>261</v>
      </c>
      <c r="C159" s="385" t="s">
        <v>252</v>
      </c>
      <c r="D159" s="737" t="str">
        <f>IF(E159&gt;4,"! ! !","ok")</f>
        <v>ok</v>
      </c>
      <c r="E159" s="99">
        <f>100*E158/E103/I98</f>
        <v>0.8475413890906079</v>
      </c>
      <c r="F159" s="737" t="str">
        <f>IF(G159&gt;4,"! ! !","ok")</f>
        <v>ok</v>
      </c>
      <c r="G159" s="99">
        <f>100*G158/G103/I98</f>
        <v>1.130055185454144</v>
      </c>
      <c r="H159" s="737" t="str">
        <f>IF(I159&gt;4,"! ! !","ok")</f>
        <v>ok</v>
      </c>
      <c r="I159" s="99">
        <f>100*I158/I103/I98</f>
        <v>0.8475413890906079</v>
      </c>
      <c r="J159" s="750" t="s">
        <v>445</v>
      </c>
      <c r="K159" s="403" t="str">
        <f>IF(AND(AND(D159="ok",F159="ok"),H159="ok"),"","As &gt; 4%")</f>
        <v></v>
      </c>
    </row>
    <row r="160" spans="1:11" ht="15.75">
      <c r="A160" s="465"/>
      <c r="B160" s="384" t="s">
        <v>262</v>
      </c>
      <c r="C160" s="385" t="s">
        <v>13</v>
      </c>
      <c r="D160" s="738"/>
      <c r="E160" s="94">
        <f>IF(E157&lt;2,0,(MAIN!$J$16+2/MAIN!$J$18*E111-2*(MAIN!$J$13+E178)-E156*E157)/(E157-1))</f>
        <v>34.2</v>
      </c>
      <c r="F160" s="738"/>
      <c r="G160" s="94">
        <f>IF(G157&lt;2,0,(MAIN!$J$16+2/MAIN!$J$18*(I97-G111)-2*(MAIN!$J$13+G178)-G156*G157)/(G157-1))</f>
        <v>32.86666666666667</v>
      </c>
      <c r="H160" s="738"/>
      <c r="I160" s="94">
        <f>IF(I157&lt;2,0,(MAIN!$J$16+2/MAIN!$J$18*I111-2*(MAIN!$J$13+I178)-I156*I157)/(I157-1))</f>
        <v>34.2</v>
      </c>
      <c r="J160" s="750" t="s">
        <v>263</v>
      </c>
      <c r="K160" s="468"/>
    </row>
    <row r="161" spans="1:11" ht="15.75">
      <c r="A161" s="465"/>
      <c r="B161" s="384" t="s">
        <v>264</v>
      </c>
      <c r="C161" s="385" t="s">
        <v>13</v>
      </c>
      <c r="D161" s="737" t="str">
        <f>IF(E160&lt;E161,"! ! !","ok")</f>
        <v>ok</v>
      </c>
      <c r="E161" s="94">
        <f>IF(E157&lt;2,0,MAX(E156,MAIN!$F$11+5))</f>
        <v>25</v>
      </c>
      <c r="F161" s="737" t="str">
        <f>IF(G160&lt;G161,"! ! !","ok")</f>
        <v>ok</v>
      </c>
      <c r="G161" s="94">
        <f>IF(G157&lt;2,0,MAX(G156,MAIN!$F$11+5))</f>
        <v>25</v>
      </c>
      <c r="H161" s="737" t="str">
        <f>IF(I160&lt;I161,"! ! !","ok")</f>
        <v>ok</v>
      </c>
      <c r="I161" s="94">
        <f>IF(I157&lt;2,0,MAX(I156,MAIN!$F$11+5))</f>
        <v>25</v>
      </c>
      <c r="J161" s="750" t="s">
        <v>265</v>
      </c>
      <c r="K161" s="403" t="str">
        <f>IF(AND(AND(D161="ok",F161="ok"),H161="ok"),"","Min spacing fails")</f>
        <v></v>
      </c>
    </row>
    <row r="162" spans="1:11" ht="15.75">
      <c r="A162" s="465"/>
      <c r="B162" s="382" t="s">
        <v>270</v>
      </c>
      <c r="C162" s="394"/>
      <c r="D162" s="386"/>
      <c r="E162" s="93"/>
      <c r="F162" s="386"/>
      <c r="G162" s="93"/>
      <c r="H162" s="386"/>
      <c r="I162" s="93"/>
      <c r="J162" s="750"/>
      <c r="K162" s="468"/>
    </row>
    <row r="163" spans="1:11" ht="15.75">
      <c r="A163" s="465"/>
      <c r="B163" s="384" t="s">
        <v>271</v>
      </c>
      <c r="C163" s="385" t="s">
        <v>11</v>
      </c>
      <c r="D163" s="386"/>
      <c r="E163" s="94">
        <f>MAX(0.00001,2/3*MAIN!$C$12*E116/(E143+E153)/E100)</f>
        <v>119.95186547204393</v>
      </c>
      <c r="F163" s="390"/>
      <c r="G163" s="94">
        <f>MAX(0.00001,2/3*MAIN!$C$12*G116/G143/G100)</f>
        <v>195.72547829271568</v>
      </c>
      <c r="H163" s="390"/>
      <c r="I163" s="94">
        <f>MAX(1,2/3*MAIN!$C$12*I116/(I143+I153)/I100)</f>
        <v>327.6528064214063</v>
      </c>
      <c r="J163" s="750" t="s">
        <v>327</v>
      </c>
      <c r="K163" s="468"/>
    </row>
    <row r="164" spans="1:11" ht="15.75">
      <c r="A164" s="465"/>
      <c r="B164" s="384" t="s">
        <v>272</v>
      </c>
      <c r="C164" s="385"/>
      <c r="D164" s="386"/>
      <c r="E164" s="93">
        <f>7*IF(G97&gt;10,10/G97,1)</f>
        <v>7</v>
      </c>
      <c r="F164" s="386"/>
      <c r="G164" s="93">
        <f>MAX(IF(SPANS!S$2=1,16,20.8),IF(SPANS!S$2=1,20,26)-5.2/0.7*(1-G117))*IF(G97&gt;10,10/G97,1)</f>
        <v>20.8</v>
      </c>
      <c r="H164" s="386"/>
      <c r="I164" s="93"/>
      <c r="J164" s="750" t="s">
        <v>273</v>
      </c>
      <c r="K164" s="468"/>
    </row>
    <row r="165" spans="1:11" ht="15.75">
      <c r="A165" s="465"/>
      <c r="B165" s="384" t="s">
        <v>274</v>
      </c>
      <c r="C165" s="385"/>
      <c r="D165" s="386"/>
      <c r="E165" s="93">
        <f>MIN(0.55+(477-E163)/120/(0.9+MAIN!C$11*E108),2)</f>
        <v>2</v>
      </c>
      <c r="F165" s="386"/>
      <c r="G165" s="93">
        <f>MIN(0.55+(477-G163)/120/(0.9+MAIN!C$11*G108),2)</f>
        <v>1.7275717701211806</v>
      </c>
      <c r="H165" s="386"/>
      <c r="I165" s="93"/>
      <c r="J165" s="750" t="s">
        <v>325</v>
      </c>
      <c r="K165" s="468"/>
    </row>
    <row r="166" spans="1:11" ht="15.75">
      <c r="A166" s="465"/>
      <c r="B166" s="384" t="s">
        <v>276</v>
      </c>
      <c r="C166" s="385"/>
      <c r="D166" s="386"/>
      <c r="E166" s="93">
        <v>1</v>
      </c>
      <c r="F166" s="386"/>
      <c r="G166" s="93">
        <f>MIN(1.5,1+100*G158/G103/G104/(3+100*G158/G103/G104))</f>
        <v>1.065512503307778</v>
      </c>
      <c r="H166" s="386"/>
      <c r="I166" s="93"/>
      <c r="J166" s="750" t="s">
        <v>275</v>
      </c>
      <c r="K166" s="468"/>
    </row>
    <row r="167" spans="1:11" ht="15.75">
      <c r="A167" s="465"/>
      <c r="B167" s="384" t="s">
        <v>277</v>
      </c>
      <c r="C167" s="385"/>
      <c r="D167" s="683" t="str">
        <f>IF(AND(MAIN!I$22=3,MAIN!J$22="C"),"Cant","-")</f>
        <v>-</v>
      </c>
      <c r="E167" s="682">
        <f>IF(LEFT(D167,1)="C",E164*E165*E166*IF(MAIN!C$14&lt;20,0.85,1),0)</f>
        <v>0</v>
      </c>
      <c r="F167" s="386"/>
      <c r="G167" s="93">
        <f>IF(LEFT(D167,1)="C",0,G164*G165*G166*IF(MAIN!C$14&lt;20,0.85,1))</f>
        <v>38.2875858856539</v>
      </c>
      <c r="H167" s="386"/>
      <c r="I167" s="93"/>
      <c r="J167" s="750" t="s">
        <v>278</v>
      </c>
      <c r="K167" s="468"/>
    </row>
    <row r="168" spans="1:11" ht="15.75">
      <c r="A168" s="465"/>
      <c r="B168" s="384" t="s">
        <v>279</v>
      </c>
      <c r="C168" s="385"/>
      <c r="D168" s="386" t="str">
        <f>IF(E168&gt;E167,"! ! !","ok")</f>
        <v>ok</v>
      </c>
      <c r="E168" s="93">
        <f>IF(LEFT(D167,1)="C",1000*G97/E103,0)</f>
        <v>0</v>
      </c>
      <c r="F168" s="737" t="str">
        <f>IF(G168&gt;G167,"! ! !","ok")</f>
        <v>ok</v>
      </c>
      <c r="G168" s="93">
        <f>IF(LEFT(D167,1)="C",0,1000*G97/G103)</f>
        <v>29.288702928870293</v>
      </c>
      <c r="H168" s="396"/>
      <c r="I168" s="93"/>
      <c r="J168" s="750" t="s">
        <v>280</v>
      </c>
      <c r="K168" s="403" t="str">
        <f>IF(AND(D168="ok",F168="ok"),"","Deflection failure")</f>
        <v></v>
      </c>
    </row>
    <row r="169" spans="1:11" ht="15.75">
      <c r="A169" s="465"/>
      <c r="B169" s="384" t="s">
        <v>281</v>
      </c>
      <c r="C169" s="385" t="s">
        <v>252</v>
      </c>
      <c r="D169" s="386"/>
      <c r="E169" s="93">
        <f>IF(LEFT(D167,1)="C",MAX(0,(2/3*MAIN!$C$12*E116/(477-120*(MIN(2,E168/(E164*E166*IF(MAIN!C$14&lt;20,0.85,1)))-0.55)*(0.9+MAIN!C$11*E108))/E100)/E116-1),0)</f>
        <v>0</v>
      </c>
      <c r="F169" s="386"/>
      <c r="G169" s="93">
        <f>IF(LEFT(D167,1)="C",0,MAX(0,(2/3*MAIN!$C$12*G116/(477-120*(MIN(2,G168/(G164*G166*IF(MAIN!C$14&lt;20,0.85,1)))-0.55)*(0.9+MAIN!C$11*G108))/G100)/G116-1))</f>
        <v>0.11816355942550705</v>
      </c>
      <c r="H169" s="386"/>
      <c r="I169" s="93"/>
      <c r="J169" s="750"/>
      <c r="K169" s="468"/>
    </row>
    <row r="170" spans="1:11" ht="15.75">
      <c r="A170" s="465"/>
      <c r="B170" s="397"/>
      <c r="C170" s="394"/>
      <c r="D170" s="386"/>
      <c r="E170" s="93"/>
      <c r="F170" s="386"/>
      <c r="G170" s="93"/>
      <c r="H170" s="386"/>
      <c r="I170" s="93"/>
      <c r="J170" s="750"/>
      <c r="K170" s="468"/>
    </row>
    <row r="171" spans="1:11" ht="15.75">
      <c r="A171" s="465"/>
      <c r="B171" s="382" t="s">
        <v>282</v>
      </c>
      <c r="C171" s="122"/>
      <c r="D171" s="386"/>
      <c r="E171" s="632"/>
      <c r="F171" s="387"/>
      <c r="G171" s="100"/>
      <c r="H171" s="387"/>
      <c r="I171" s="632"/>
      <c r="J171" s="750"/>
      <c r="K171" s="468"/>
    </row>
    <row r="172" spans="1:11" ht="15.75">
      <c r="A172" s="465"/>
      <c r="B172" s="384" t="s">
        <v>328</v>
      </c>
      <c r="C172" s="385" t="s">
        <v>71</v>
      </c>
      <c r="D172" s="398"/>
      <c r="E172" s="92">
        <f>MAX(Analysis!D190:D192)</f>
        <v>59.09004631333019</v>
      </c>
      <c r="F172" s="399"/>
      <c r="G172" s="101"/>
      <c r="H172" s="399"/>
      <c r="I172" s="92">
        <f>MAX(Analysis!J190:J192)</f>
        <v>67.12416064141854</v>
      </c>
      <c r="J172" s="755"/>
      <c r="K172" s="468"/>
    </row>
    <row r="173" spans="1:11" ht="15.75">
      <c r="A173" s="465"/>
      <c r="B173" s="384" t="s">
        <v>332</v>
      </c>
      <c r="C173" s="385" t="s">
        <v>283</v>
      </c>
      <c r="D173" s="386"/>
      <c r="E173" s="100">
        <f>MAX(MAIN!E19,E103)/1000</f>
        <v>1.1</v>
      </c>
      <c r="F173" s="388"/>
      <c r="G173" s="92"/>
      <c r="H173" s="388"/>
      <c r="I173" s="100">
        <f>MAX(MAIN!F19,I103)/1000</f>
        <v>1.1</v>
      </c>
      <c r="J173" s="750" t="s">
        <v>331</v>
      </c>
      <c r="K173" s="468"/>
    </row>
    <row r="174" spans="1:11" ht="15.75">
      <c r="A174" s="465"/>
      <c r="B174" s="384" t="s">
        <v>284</v>
      </c>
      <c r="C174" s="385" t="s">
        <v>285</v>
      </c>
      <c r="D174" s="386"/>
      <c r="E174" s="93">
        <f>(E172-Analysis!E298*E173-Analysis!E299)*MAIN!$J$17/1000</f>
        <v>37.849901681997174</v>
      </c>
      <c r="F174" s="386"/>
      <c r="G174" s="93"/>
      <c r="H174" s="386"/>
      <c r="I174" s="93">
        <f>(I172-Analysis!E298*I173-Analysis!E300)*MAIN!$J$17/1000</f>
        <v>45.08060457727669</v>
      </c>
      <c r="J174" s="750"/>
      <c r="K174" s="468"/>
    </row>
    <row r="175" spans="1:11" ht="15.75">
      <c r="A175" s="465"/>
      <c r="B175" s="384" t="s">
        <v>117</v>
      </c>
      <c r="C175" s="385" t="s">
        <v>11</v>
      </c>
      <c r="D175" s="386"/>
      <c r="E175" s="95">
        <f>1000*E174/$I98/E103</f>
        <v>0.9454793400861093</v>
      </c>
      <c r="F175" s="386"/>
      <c r="G175" s="95"/>
      <c r="H175" s="386"/>
      <c r="I175" s="95">
        <f>1000*I174/$I98/I103</f>
        <v>1.1261001580534988</v>
      </c>
      <c r="J175" s="750" t="s">
        <v>326</v>
      </c>
      <c r="K175" s="468"/>
    </row>
    <row r="176" spans="1:11" ht="15.75">
      <c r="A176" s="465"/>
      <c r="B176" s="384" t="s">
        <v>118</v>
      </c>
      <c r="C176" s="385" t="s">
        <v>11</v>
      </c>
      <c r="D176" s="386"/>
      <c r="E176" s="95">
        <f>0.632*MAX(1,400/E103)^0.25*MIN(3,100*MAX(E143,E158)/$I98/E103)^0.3333333*(MIN(MAIN!$C$11,40)/25)^0.3333333*IF(MAIN!$C$14&lt;20,0.8,1)</f>
        <v>0.9345394807245901</v>
      </c>
      <c r="F176" s="386"/>
      <c r="G176" s="95" t="str">
        <f>G86</f>
        <v>NOMINAL</v>
      </c>
      <c r="H176" s="386"/>
      <c r="I176" s="95">
        <f>0.632*MAX(1,400/I103)^0.25*MIN(3,100*MAX(I143,I158)/$I98/I103)^0.3333333*(MIN(MAIN!$C$11,40)/25)^0.3333333*IF(MAIN!$C$14&lt;20,0.8,1)</f>
        <v>0.9345394807245901</v>
      </c>
      <c r="J176" s="750" t="s">
        <v>287</v>
      </c>
      <c r="K176" s="468"/>
    </row>
    <row r="177" spans="1:11" ht="15.75">
      <c r="A177" s="465"/>
      <c r="B177" s="384" t="s">
        <v>329</v>
      </c>
      <c r="C177" s="385" t="s">
        <v>286</v>
      </c>
      <c r="D177" s="386"/>
      <c r="E177" s="94">
        <f>MAX(0.4,E175-E176)*$I98</f>
        <v>67</v>
      </c>
      <c r="F177" s="390"/>
      <c r="G177" s="94">
        <f>L$87*I98</f>
        <v>0.0001675</v>
      </c>
      <c r="H177" s="390"/>
      <c r="I177" s="94">
        <f>MAX(0.4,I175-I176)*$I98</f>
        <v>67</v>
      </c>
      <c r="J177" s="750" t="s">
        <v>324</v>
      </c>
      <c r="K177" s="468"/>
    </row>
    <row r="178" spans="1:11" ht="15.75">
      <c r="A178" s="465"/>
      <c r="B178" s="384" t="s">
        <v>119</v>
      </c>
      <c r="C178" s="385" t="s">
        <v>13</v>
      </c>
      <c r="D178" s="386"/>
      <c r="E178" s="80">
        <f>SPANS!I42</f>
        <v>6</v>
      </c>
      <c r="F178" s="52"/>
      <c r="G178" s="80">
        <f>E178</f>
        <v>6</v>
      </c>
      <c r="H178" s="52"/>
      <c r="I178" s="80">
        <f>E178</f>
        <v>6</v>
      </c>
      <c r="J178" s="750" t="s">
        <v>288</v>
      </c>
      <c r="K178" s="468"/>
    </row>
    <row r="179" spans="1:11" ht="15.75">
      <c r="A179" s="465"/>
      <c r="B179" s="384" t="s">
        <v>289</v>
      </c>
      <c r="C179" s="385" t="s">
        <v>13</v>
      </c>
      <c r="D179" s="386"/>
      <c r="E179" s="96">
        <f>FLOOR(MIN(0.75*E103,0.75*G103,PI()/2*E178^2*MAIN!$C$13/MAIN!$F$12/E177,IF(E129&gt;0,12*E156,600)),5)</f>
        <v>175</v>
      </c>
      <c r="F179" s="386"/>
      <c r="G179" s="96">
        <f>K13</f>
        <v>1200</v>
      </c>
      <c r="H179" s="386"/>
      <c r="I179" s="96">
        <f>FLOOR(MIN(0.75*I103,0.75*G103,PI()/2*I178^2*MAIN!$C$13/MAIN!$F$12/I177,IF(I129&gt;0,12*I156,600)),5)</f>
        <v>140</v>
      </c>
      <c r="J179" s="750" t="s">
        <v>290</v>
      </c>
      <c r="K179" s="468"/>
    </row>
    <row r="180" spans="1:11" ht="15.75">
      <c r="A180" s="465"/>
      <c r="B180" s="384" t="s">
        <v>291</v>
      </c>
      <c r="C180" s="385" t="s">
        <v>13</v>
      </c>
      <c r="D180" s="386"/>
      <c r="E180" s="80">
        <f>CEILING(MAX(0,(1000*E174-E176*$I98*E103)/Analysis!$F190),E179)</f>
        <v>175</v>
      </c>
      <c r="F180" s="386"/>
      <c r="G180" s="80">
        <f>CEILING(MAX(0,1000*(G97-E173-I173)-50-E180-I180-2*G179),G179)</f>
        <v>2400</v>
      </c>
      <c r="H180" s="386"/>
      <c r="I180" s="80">
        <f>CEILING(MAX(0,(1000*I174-I176*$I98*I103)/Analysis!$F190),I179)</f>
        <v>560</v>
      </c>
      <c r="J180" s="750" t="s">
        <v>292</v>
      </c>
      <c r="K180" s="468"/>
    </row>
    <row r="181" spans="1:11" ht="15.75">
      <c r="A181" s="465"/>
      <c r="B181" s="384" t="s">
        <v>293</v>
      </c>
      <c r="C181" s="385" t="s">
        <v>13</v>
      </c>
      <c r="D181" s="396"/>
      <c r="E181" s="18"/>
      <c r="F181" s="737" t="str">
        <f>IF(G181&gt;MIN(G103,150),"! ! !","ok")</f>
        <v>ok</v>
      </c>
      <c r="G181" s="80">
        <f>INT(CEILING(G142-1,1)/2)*(G145+G141)</f>
        <v>42.599999999999994</v>
      </c>
      <c r="H181" s="390"/>
      <c r="I181" s="18"/>
      <c r="J181" s="750" t="s">
        <v>294</v>
      </c>
      <c r="K181" s="403" t="str">
        <f>IF(F181="ok","","Too far from link")</f>
        <v></v>
      </c>
    </row>
    <row r="182" spans="1:11" ht="15.75">
      <c r="A182" s="465"/>
      <c r="B182" s="384" t="s">
        <v>295</v>
      </c>
      <c r="C182" s="385" t="s">
        <v>13</v>
      </c>
      <c r="D182" s="737" t="str">
        <f>IF(E182&gt;150,"FAILS","ok")</f>
        <v>ok</v>
      </c>
      <c r="E182" s="94">
        <f>INT(CEILING(E157-1,1)/2)*(E160+E156)</f>
        <v>46.2</v>
      </c>
      <c r="F182" s="737" t="str">
        <f>IF(G182&gt;150,"! ! !","ok")</f>
        <v>ok</v>
      </c>
      <c r="G182" s="94">
        <f>INT(CEILING(G157-1,1)/2)*(G160+G156)</f>
        <v>44.86666666666667</v>
      </c>
      <c r="H182" s="737" t="str">
        <f>IF(I182&gt;150,"FAILS","ok")</f>
        <v>ok</v>
      </c>
      <c r="I182" s="94">
        <f>INT(CEILING(I157-1,1)/2)*(I160+I156)</f>
        <v>46.2</v>
      </c>
      <c r="J182" s="750" t="s">
        <v>296</v>
      </c>
      <c r="K182" s="403"/>
    </row>
    <row r="183" spans="1:11" ht="15.75">
      <c r="A183" s="465"/>
      <c r="B183" s="384"/>
      <c r="C183" s="385"/>
      <c r="D183" s="396"/>
      <c r="E183" s="18"/>
      <c r="F183" s="396"/>
      <c r="G183" s="80"/>
      <c r="H183" s="390"/>
      <c r="I183" s="18"/>
      <c r="J183" s="750"/>
      <c r="K183" s="403" t="str">
        <f>IF(AND(AND(H182="ok",F182="ok"),H182="ok"),"","Too far from link")</f>
        <v></v>
      </c>
    </row>
    <row r="184" spans="1:11" ht="16.5" thickBot="1">
      <c r="A184" s="465"/>
      <c r="B184" s="397"/>
      <c r="C184" s="122"/>
      <c r="D184" s="379"/>
      <c r="E184" s="670"/>
      <c r="F184" s="122"/>
      <c r="G184" s="670"/>
      <c r="H184" s="122"/>
      <c r="I184" s="670"/>
      <c r="J184" s="755"/>
      <c r="K184" s="403"/>
    </row>
    <row r="185" spans="1:11" ht="15.75">
      <c r="A185" s="465"/>
      <c r="B185" s="397"/>
      <c r="C185" s="122"/>
      <c r="D185" s="379"/>
      <c r="E185" s="377"/>
      <c r="F185" s="122"/>
      <c r="G185" s="377"/>
      <c r="H185" s="122"/>
      <c r="I185" s="377"/>
      <c r="J185" s="755"/>
      <c r="K185" s="403"/>
    </row>
    <row r="186" spans="1:11" ht="15.75">
      <c r="A186" s="465"/>
      <c r="B186" s="397"/>
      <c r="C186" s="122"/>
      <c r="D186" s="379"/>
      <c r="E186" s="377"/>
      <c r="F186" s="122"/>
      <c r="G186" s="377"/>
      <c r="H186" s="122"/>
      <c r="I186" s="377"/>
      <c r="J186" s="755"/>
      <c r="K186" s="403"/>
    </row>
    <row r="187" spans="1:11" ht="15.75">
      <c r="A187" s="465"/>
      <c r="B187" s="397"/>
      <c r="C187" s="122"/>
      <c r="D187" s="379"/>
      <c r="E187" s="377"/>
      <c r="F187" s="122"/>
      <c r="G187" s="377"/>
      <c r="H187" s="122"/>
      <c r="I187" s="377"/>
      <c r="J187" s="755"/>
      <c r="K187" s="403"/>
    </row>
    <row r="188" spans="1:11" ht="15.75">
      <c r="A188" s="465"/>
      <c r="B188" s="397"/>
      <c r="C188" s="122"/>
      <c r="D188" s="379"/>
      <c r="E188" s="377"/>
      <c r="F188" s="122"/>
      <c r="G188" s="377"/>
      <c r="H188" s="122"/>
      <c r="I188" s="377"/>
      <c r="J188" s="755"/>
      <c r="K188" s="403"/>
    </row>
    <row r="189" spans="1:11" ht="15.75">
      <c r="A189" s="465"/>
      <c r="B189" s="397"/>
      <c r="C189" s="122"/>
      <c r="D189" s="379"/>
      <c r="E189" s="377"/>
      <c r="F189" s="122"/>
      <c r="G189" s="377"/>
      <c r="H189" s="122"/>
      <c r="I189" s="377"/>
      <c r="J189" s="755"/>
      <c r="K189" s="403"/>
    </row>
    <row r="190" spans="1:11" ht="15.75">
      <c r="A190" s="465"/>
      <c r="B190" s="397"/>
      <c r="C190" s="122"/>
      <c r="D190" s="379"/>
      <c r="E190" s="377"/>
      <c r="F190" s="122"/>
      <c r="G190" s="377"/>
      <c r="H190" s="122"/>
      <c r="I190" s="377"/>
      <c r="J190" s="755"/>
      <c r="K190" s="403"/>
    </row>
    <row r="191" spans="1:11" ht="15.75">
      <c r="A191" s="465"/>
      <c r="B191" s="397"/>
      <c r="C191" s="122"/>
      <c r="D191" s="379"/>
      <c r="E191" s="377"/>
      <c r="F191" s="122"/>
      <c r="G191" s="377"/>
      <c r="H191" s="122"/>
      <c r="I191" s="377"/>
      <c r="J191" s="755"/>
      <c r="K191" s="403"/>
    </row>
    <row r="192" spans="1:11" ht="15.75">
      <c r="A192" s="465"/>
      <c r="B192" s="397"/>
      <c r="C192" s="122"/>
      <c r="D192" s="379"/>
      <c r="E192" s="377"/>
      <c r="F192" s="122"/>
      <c r="G192" s="377"/>
      <c r="H192" s="122"/>
      <c r="I192" s="377"/>
      <c r="J192" s="755"/>
      <c r="K192" s="403"/>
    </row>
    <row r="193" spans="1:11" ht="15.75">
      <c r="A193" s="465"/>
      <c r="B193" s="397"/>
      <c r="C193" s="122"/>
      <c r="D193" s="379"/>
      <c r="E193" s="377"/>
      <c r="F193" s="122"/>
      <c r="G193" s="377"/>
      <c r="H193" s="122"/>
      <c r="I193" s="377"/>
      <c r="J193" s="755"/>
      <c r="K193" s="403"/>
    </row>
    <row r="194" spans="1:11" ht="16.5" thickBot="1">
      <c r="A194" s="465"/>
      <c r="B194" s="665"/>
      <c r="C194" s="666"/>
      <c r="D194" s="667"/>
      <c r="E194" s="669"/>
      <c r="F194" s="666"/>
      <c r="G194" s="669"/>
      <c r="H194" s="666"/>
      <c r="I194" s="669"/>
      <c r="J194" s="752"/>
      <c r="K194" s="403"/>
    </row>
    <row r="195" spans="1:11" ht="17.25" thickBot="1" thickTop="1">
      <c r="A195" s="465"/>
      <c r="B195" s="691"/>
      <c r="C195" s="691"/>
      <c r="D195" s="692"/>
      <c r="E195" s="693"/>
      <c r="F195" s="691"/>
      <c r="G195" s="693"/>
      <c r="H195" s="691"/>
      <c r="I195" s="693"/>
      <c r="J195" s="756"/>
      <c r="K195" s="403"/>
    </row>
    <row r="196" spans="1:11" ht="18">
      <c r="A196" s="465"/>
      <c r="B196" s="539" t="str">
        <f>B$2</f>
        <v> Project</v>
      </c>
      <c r="C196" s="540" t="str">
        <f>C$2</f>
        <v>Spreadsheets to BS 8110</v>
      </c>
      <c r="D196" s="542"/>
      <c r="E196" s="542"/>
      <c r="F196" s="542"/>
      <c r="G196" s="541"/>
      <c r="H196" s="542"/>
      <c r="I196" s="542"/>
      <c r="J196" s="753"/>
      <c r="K196" s="465"/>
    </row>
    <row r="197" spans="1:11" ht="18">
      <c r="A197" s="465"/>
      <c r="B197" s="543" t="str">
        <f>B$3</f>
        <v> Location</v>
      </c>
      <c r="C197" s="544" t="str">
        <f>C$3</f>
        <v>3rd Floor slab,  from 1 to 5a</v>
      </c>
      <c r="D197" s="545"/>
      <c r="E197" s="545"/>
      <c r="F197" s="545"/>
      <c r="G197" s="736" t="s">
        <v>412</v>
      </c>
      <c r="H197" s="545"/>
      <c r="I197" s="545"/>
      <c r="J197" s="754"/>
      <c r="K197" s="465"/>
    </row>
    <row r="198" spans="1:11" ht="15.75">
      <c r="A198" s="465"/>
      <c r="B198" s="546"/>
      <c r="C198" s="547" t="str">
        <f>C$4</f>
        <v>RIBBED SLABS to BS 8110:1997 (Analysis &amp; Design)</v>
      </c>
      <c r="D198" s="545"/>
      <c r="E198" s="545"/>
      <c r="F198" s="545"/>
      <c r="G198" s="122"/>
      <c r="H198" s="122"/>
      <c r="I198" s="122"/>
      <c r="J198" s="766" t="str">
        <f>J$4</f>
        <v>Made by  rmw    Job No  R68</v>
      </c>
      <c r="K198" s="465"/>
    </row>
    <row r="199" spans="1:11" ht="16.5" thickBot="1">
      <c r="A199" s="465"/>
      <c r="B199" s="549"/>
      <c r="C199" s="550" t="str">
        <f>C$5</f>
        <v>Originated from  RCC32.xls v2.2 on CD               © 2000-2003 BCA for RCC</v>
      </c>
      <c r="D199" s="552"/>
      <c r="E199" s="552"/>
      <c r="F199" s="552"/>
      <c r="G199" s="551"/>
      <c r="H199" s="551"/>
      <c r="I199" s="553" t="str">
        <f>I$5</f>
        <v> Date</v>
      </c>
      <c r="J199" s="767">
        <f>J$5</f>
        <v>39305</v>
      </c>
      <c r="K199" s="465"/>
    </row>
    <row r="200" spans="1:11" ht="15.75">
      <c r="A200" s="465"/>
      <c r="B200" s="668"/>
      <c r="C200" s="379"/>
      <c r="D200" s="379"/>
      <c r="E200" s="379"/>
      <c r="F200" s="379"/>
      <c r="G200" s="379"/>
      <c r="H200" s="379"/>
      <c r="I200" s="379"/>
      <c r="J200" s="757"/>
      <c r="K200" s="465"/>
    </row>
    <row r="201" spans="1:11" ht="19.5">
      <c r="A201" s="465"/>
      <c r="B201" s="743" t="s">
        <v>226</v>
      </c>
      <c r="C201" s="744"/>
      <c r="D201" s="745" t="s">
        <v>227</v>
      </c>
      <c r="E201" s="746">
        <v>3</v>
      </c>
      <c r="F201" s="635" t="s">
        <v>228</v>
      </c>
      <c r="G201" s="636">
        <f>MAIN!C20</f>
        <v>7.5</v>
      </c>
      <c r="H201" s="380" t="s">
        <v>229</v>
      </c>
      <c r="I201" s="381">
        <f>MAIN!D20</f>
        <v>275</v>
      </c>
      <c r="J201" s="755"/>
      <c r="K201" s="465"/>
    </row>
    <row r="202" spans="1:11" ht="18">
      <c r="A202" s="465"/>
      <c r="B202" s="376"/>
      <c r="C202" s="377"/>
      <c r="D202" s="694" t="str">
        <f>IF(G201=0,"-  No Span 3  ","")&amp;D274</f>
        <v>-</v>
      </c>
      <c r="E202" s="379"/>
      <c r="F202" s="379"/>
      <c r="G202" s="379"/>
      <c r="H202" s="380" t="s">
        <v>230</v>
      </c>
      <c r="I202" s="763">
        <f>Analysis!F8</f>
        <v>167.5</v>
      </c>
      <c r="J202" s="750" t="s">
        <v>231</v>
      </c>
      <c r="K202" s="465"/>
    </row>
    <row r="203" spans="1:11" ht="15.75">
      <c r="A203" s="465"/>
      <c r="B203" s="382" t="s">
        <v>232</v>
      </c>
      <c r="C203" s="377"/>
      <c r="D203" s="383"/>
      <c r="E203" s="474" t="s">
        <v>101</v>
      </c>
      <c r="F203" s="475"/>
      <c r="G203" s="474" t="s">
        <v>227</v>
      </c>
      <c r="H203" s="475"/>
      <c r="I203" s="474" t="s">
        <v>103</v>
      </c>
      <c r="J203" s="750" t="s">
        <v>233</v>
      </c>
      <c r="K203" s="465"/>
    </row>
    <row r="204" spans="1:11" ht="15.75">
      <c r="A204" s="465"/>
      <c r="B204" s="384" t="s">
        <v>106</v>
      </c>
      <c r="C204" s="385"/>
      <c r="D204" s="386"/>
      <c r="E204" s="91">
        <f>I100</f>
        <v>0.85</v>
      </c>
      <c r="F204" s="387"/>
      <c r="G204" s="91">
        <f>ACTIONS!F31</f>
        <v>0.9429068635473665</v>
      </c>
      <c r="H204" s="387"/>
      <c r="I204" s="91">
        <f>ACTIONS!G25</f>
        <v>1</v>
      </c>
      <c r="J204" s="759"/>
      <c r="K204" s="466"/>
    </row>
    <row r="205" spans="1:11" ht="15.75">
      <c r="A205" s="465"/>
      <c r="B205" s="384" t="s">
        <v>234</v>
      </c>
      <c r="C205" s="385" t="s">
        <v>87</v>
      </c>
      <c r="D205" s="386"/>
      <c r="E205" s="92">
        <f>I101</f>
        <v>83.24680497335541</v>
      </c>
      <c r="F205" s="388"/>
      <c r="G205" s="92">
        <f>ACTIONS!F30</f>
        <v>71.03749415010869</v>
      </c>
      <c r="H205" s="388"/>
      <c r="I205" s="92">
        <f>ACTIONS!G24</f>
        <v>0</v>
      </c>
      <c r="J205" s="759"/>
      <c r="K205" s="467"/>
    </row>
    <row r="206" spans="1:11" ht="15.75">
      <c r="A206" s="465"/>
      <c r="B206" s="384" t="s">
        <v>235</v>
      </c>
      <c r="C206" s="385" t="s">
        <v>236</v>
      </c>
      <c r="D206" s="386"/>
      <c r="E206" s="93">
        <f>MAIN!$J$17/1000*E205</f>
        <v>74.92212447601987</v>
      </c>
      <c r="F206" s="386"/>
      <c r="G206" s="93">
        <f>MAIN!$J$17/1000*G205</f>
        <v>63.93374473509782</v>
      </c>
      <c r="H206" s="386"/>
      <c r="I206" s="93">
        <f>MAIN!$J$17/1000*I205</f>
        <v>0</v>
      </c>
      <c r="J206" s="759" t="s">
        <v>237</v>
      </c>
      <c r="K206" s="468"/>
    </row>
    <row r="207" spans="1:11" ht="15.75">
      <c r="A207" s="465"/>
      <c r="B207" s="384" t="s">
        <v>108</v>
      </c>
      <c r="C207" s="385" t="s">
        <v>13</v>
      </c>
      <c r="D207" s="386"/>
      <c r="E207" s="94">
        <f>I201-MAIN!$J$11-E285-E239/2</f>
        <v>239</v>
      </c>
      <c r="F207" s="386"/>
      <c r="G207" s="94">
        <f>I201-MAIN!$J$12-G285-G239/2</f>
        <v>236.5</v>
      </c>
      <c r="H207" s="386"/>
      <c r="I207" s="94">
        <f>I201-MAIN!$J$11-I285-I239/2</f>
        <v>239</v>
      </c>
      <c r="J207" s="759"/>
      <c r="K207" s="469"/>
    </row>
    <row r="208" spans="1:11" ht="15.75">
      <c r="A208" s="465"/>
      <c r="B208" s="384" t="s">
        <v>238</v>
      </c>
      <c r="C208" s="385" t="s">
        <v>13</v>
      </c>
      <c r="D208" s="386"/>
      <c r="E208" s="80">
        <f>MAIN!J$17</f>
        <v>900</v>
      </c>
      <c r="F208" s="386"/>
      <c r="G208" s="80">
        <f>E208</f>
        <v>900</v>
      </c>
      <c r="H208" s="386"/>
      <c r="I208" s="80">
        <f>G208</f>
        <v>900</v>
      </c>
      <c r="J208" s="759"/>
      <c r="K208" s="470"/>
    </row>
    <row r="209" spans="1:11" ht="15.75">
      <c r="A209" s="465"/>
      <c r="B209" s="384" t="s">
        <v>239</v>
      </c>
      <c r="C209" s="385"/>
      <c r="D209" s="386"/>
      <c r="E209" s="95">
        <f>IF(E204&lt;0.9,0.402*(E204-0.4)-0.18*(E204-0.4)^2*1.5/MAIN!$F$13,0.775*0.45*0.67/MAIN!$F$13)</f>
        <v>0.14445000000000002</v>
      </c>
      <c r="F209" s="389"/>
      <c r="G209" s="95">
        <f>IF(G204&lt;0.9,0.402*(G204-0.4)-0.18*(G204-0.4)^2*1.5/MAIN!$F$13,0.775*0.45*0.67/MAIN!$F$13)</f>
        <v>0.15577500000000002</v>
      </c>
      <c r="H209" s="389"/>
      <c r="I209" s="95">
        <f>IF(I204&lt;0.9,0.402*(I204-0.4)-0.18*(I204-0.4)^2*1.5/MAIN!$F$13,0.775*0.45*0.67/MAIN!$F$13)</f>
        <v>0.15577500000000002</v>
      </c>
      <c r="J209" s="750" t="s">
        <v>240</v>
      </c>
      <c r="K209" s="471"/>
    </row>
    <row r="210" spans="1:11" ht="15.75">
      <c r="A210" s="465"/>
      <c r="B210" s="384" t="s">
        <v>321</v>
      </c>
      <c r="C210" s="385" t="s">
        <v>236</v>
      </c>
      <c r="D210" s="386"/>
      <c r="E210" s="93">
        <f>E209*MAIN!$J$16*E207^2*MAIN!$C$11/1000000</f>
        <v>43.31842436250001</v>
      </c>
      <c r="F210" s="386"/>
      <c r="G210" s="93">
        <f>MIN(E209,I209)*MAIN!$J$16*F224^2*MAIN!$C$11/1000000</f>
        <v>42.416920940625005</v>
      </c>
      <c r="H210" s="386"/>
      <c r="I210" s="93">
        <f>I209*MAIN!$J$16*I207^2*MAIN!$C$11/1000000</f>
        <v>46.71462481875001</v>
      </c>
      <c r="J210" s="759" t="s">
        <v>241</v>
      </c>
      <c r="K210" s="468"/>
    </row>
    <row r="211" spans="1:11" ht="15.75">
      <c r="A211" s="465"/>
      <c r="B211" s="384" t="s">
        <v>322</v>
      </c>
      <c r="C211" s="385" t="s">
        <v>236</v>
      </c>
      <c r="D211" s="386"/>
      <c r="E211" s="93">
        <f>E210*E208/MAIN!$J$16</f>
        <v>259.91054617500004</v>
      </c>
      <c r="F211" s="386"/>
      <c r="G211" s="93">
        <f>MIN(G209*G208*G207^2*MAIN!C$11,0.67*MAIN!C$11/MAIN!F$13*E208*MAIN!J$15*(G207-MAIN!J$15/2))/1000000</f>
        <v>262.4055</v>
      </c>
      <c r="H211" s="386"/>
      <c r="I211" s="93">
        <f>I210*I208/MAIN!$J$16</f>
        <v>280.28774891250004</v>
      </c>
      <c r="J211" s="759" t="s">
        <v>237</v>
      </c>
      <c r="K211" s="468"/>
    </row>
    <row r="212" spans="1:11" ht="15.75">
      <c r="A212" s="465"/>
      <c r="B212" s="384" t="s">
        <v>39</v>
      </c>
      <c r="C212" s="385"/>
      <c r="D212" s="386"/>
      <c r="E212" s="95">
        <f>E206/E208/E207^2/MAIN!$C$11*1000000</f>
        <v>0.04163932953022302</v>
      </c>
      <c r="F212" s="389"/>
      <c r="G212" s="95">
        <f>G206/G208/G207^2/MAIN!$C$11*1000000</f>
        <v>0.03628752088469721</v>
      </c>
      <c r="H212" s="389"/>
      <c r="I212" s="95">
        <f>I206/I208/I207^2/MAIN!$C$11*1000000</f>
        <v>0</v>
      </c>
      <c r="J212" s="750" t="s">
        <v>240</v>
      </c>
      <c r="K212" s="471"/>
    </row>
    <row r="213" spans="1:11" ht="15.75">
      <c r="A213" s="465"/>
      <c r="B213" s="384" t="s">
        <v>242</v>
      </c>
      <c r="C213" s="385" t="s">
        <v>13</v>
      </c>
      <c r="D213" s="386"/>
      <c r="E213" s="93">
        <f>E207*MIN(0.5+SQRT(0.25-MIN(E212,E209)/0.9),0.95)</f>
        <v>227.04999999999998</v>
      </c>
      <c r="F213" s="386"/>
      <c r="G213" s="93">
        <f>IF(G206&gt;G211,G207-MAIN!J$15/2,G207*MIN(0.5+SQRT(0.25-MIN(G212,G209)/0.9),0.95))</f>
        <v>224.67499999999998</v>
      </c>
      <c r="H213" s="386"/>
      <c r="I213" s="93">
        <f>I207*MIN(0.5+SQRT(0.25-MIN(I212,I209)/0.9),0.95)</f>
        <v>227.04999999999998</v>
      </c>
      <c r="J213" s="759" t="s">
        <v>237</v>
      </c>
      <c r="K213" s="468"/>
    </row>
    <row r="214" spans="1:11" ht="15.75">
      <c r="A214" s="465"/>
      <c r="B214" s="384" t="s">
        <v>243</v>
      </c>
      <c r="C214" s="385" t="s">
        <v>13</v>
      </c>
      <c r="D214" s="386"/>
      <c r="E214" s="93">
        <f>(E207-E213)/0.45</f>
        <v>26.555555555555593</v>
      </c>
      <c r="F214" s="386"/>
      <c r="G214" s="93">
        <f>(G207-G213)/0.45</f>
        <v>26.277777777777814</v>
      </c>
      <c r="H214" s="386"/>
      <c r="I214" s="93">
        <f>(I207-I213)/0.45</f>
        <v>26.555555555555593</v>
      </c>
      <c r="J214" s="759" t="s">
        <v>237</v>
      </c>
      <c r="K214" s="468"/>
    </row>
    <row r="215" spans="1:11" ht="15.75">
      <c r="A215" s="465"/>
      <c r="B215" s="384" t="s">
        <v>244</v>
      </c>
      <c r="C215" s="385" t="s">
        <v>13</v>
      </c>
      <c r="D215" s="386"/>
      <c r="E215" s="94">
        <f>MAIN!$J$12+E285+E254/2</f>
        <v>32</v>
      </c>
      <c r="F215" s="390"/>
      <c r="G215" s="94">
        <f>MAIN!$J$11+G285+G254/2</f>
        <v>32</v>
      </c>
      <c r="H215" s="390"/>
      <c r="I215" s="94">
        <f>MAIN!$J$12+I285+I254/2</f>
        <v>34</v>
      </c>
      <c r="J215" s="759"/>
      <c r="K215" s="469"/>
    </row>
    <row r="216" spans="1:11" ht="15.75">
      <c r="A216" s="465"/>
      <c r="B216" s="384" t="s">
        <v>245</v>
      </c>
      <c r="C216" s="385" t="s">
        <v>11</v>
      </c>
      <c r="D216" s="386"/>
      <c r="E216" s="94">
        <f>MAX(0.001,MIN(700*(E214-E215)/E214,MAIN!$C$12/MAIN!$F$12)-IF(0.9*E214&gt;E215,0.67*MAIN!$C$11/MAIN!$F$13,0))</f>
        <v>0.001</v>
      </c>
      <c r="F216" s="390"/>
      <c r="G216" s="94">
        <f>MAX(0.001,MIN(700*(G214-G215)/G214,MAIN!$C$12/MAIN!$F$12)-IF(0.9*G214&gt;G215,0.67*MAIN!$C$11/MAIN!$F$13,0))</f>
        <v>0.001</v>
      </c>
      <c r="H216" s="390"/>
      <c r="I216" s="94">
        <f>MAX(0.001,MIN(700*(I214-I215)/I214,MAIN!$C$12/MAIN!$F$12)-IF(0.9*I214&gt;I215,0.67*MAIN!$C$11/MAIN!$F$13,0))</f>
        <v>0.001</v>
      </c>
      <c r="J216" s="750" t="s">
        <v>241</v>
      </c>
      <c r="K216" s="469"/>
    </row>
    <row r="217" spans="1:11" ht="15.75">
      <c r="A217" s="465"/>
      <c r="B217" s="384" t="s">
        <v>246</v>
      </c>
      <c r="C217" s="385" t="s">
        <v>236</v>
      </c>
      <c r="D217" s="386"/>
      <c r="E217" s="93">
        <f>MAX(0,E206-E211)</f>
        <v>0</v>
      </c>
      <c r="F217" s="386"/>
      <c r="G217" s="93">
        <f>MAX(0,G206-MAX(G210:G211))</f>
        <v>0</v>
      </c>
      <c r="H217" s="386"/>
      <c r="I217" s="93">
        <f>MAX(0,I206-I211)</f>
        <v>0</v>
      </c>
      <c r="J217" s="759"/>
      <c r="K217" s="468"/>
    </row>
    <row r="218" spans="1:11" ht="15.75">
      <c r="A218" s="465"/>
      <c r="B218" s="384" t="s">
        <v>247</v>
      </c>
      <c r="C218" s="385" t="s">
        <v>109</v>
      </c>
      <c r="D218" s="386"/>
      <c r="E218" s="96">
        <f>1000000*E217/E216/(E207-E215)</f>
        <v>0</v>
      </c>
      <c r="F218" s="391"/>
      <c r="G218" s="96">
        <f>1000000*G217/G216/(G207-G215)</f>
        <v>0</v>
      </c>
      <c r="H218" s="391"/>
      <c r="I218" s="96">
        <f>1000000*I217/I216/(I207-I215)</f>
        <v>0</v>
      </c>
      <c r="J218" s="759"/>
      <c r="K218" s="472"/>
    </row>
    <row r="219" spans="1:11" ht="15.75">
      <c r="A219" s="465"/>
      <c r="B219" s="384" t="s">
        <v>248</v>
      </c>
      <c r="C219" s="385" t="s">
        <v>11</v>
      </c>
      <c r="D219" s="386"/>
      <c r="E219" s="94">
        <f>MIN(700*(E207-E214)/E214,MAIN!$C$12/MAIN!$F$12)</f>
        <v>438.0952380952381</v>
      </c>
      <c r="F219" s="390"/>
      <c r="G219" s="94">
        <f>MIN(700*(G207-G214)/G214,MAIN!$C$12/MAIN!$F$12)</f>
        <v>438.0952380952381</v>
      </c>
      <c r="H219" s="390"/>
      <c r="I219" s="94">
        <f>MIN(700*(I207-I214)/I214,MAIN!$C$12/MAIN!$F$12)</f>
        <v>438.0952380952381</v>
      </c>
      <c r="J219" s="750" t="s">
        <v>241</v>
      </c>
      <c r="K219" s="469"/>
    </row>
    <row r="220" spans="1:11" ht="15.75">
      <c r="A220" s="465"/>
      <c r="B220" s="384" t="s">
        <v>249</v>
      </c>
      <c r="C220" s="385" t="s">
        <v>109</v>
      </c>
      <c r="D220" s="386"/>
      <c r="E220" s="96">
        <f>1000000/E219*(E206-E217)/E213+E218*E216/E219</f>
        <v>753.2168809764262</v>
      </c>
      <c r="F220" s="386"/>
      <c r="G220" s="96">
        <f>1000000/G219*(G206-G217)/G213+G218*G216/G219</f>
        <v>649.5414339732533</v>
      </c>
      <c r="H220" s="386"/>
      <c r="I220" s="96">
        <f>1000000/I219*(I206-I217)/I213+I218*I216/I219</f>
        <v>0</v>
      </c>
      <c r="J220" s="759"/>
      <c r="K220" s="472"/>
    </row>
    <row r="221" spans="1:11" ht="15.75">
      <c r="A221" s="465"/>
      <c r="B221" s="384" t="s">
        <v>250</v>
      </c>
      <c r="C221" s="385"/>
      <c r="D221" s="386"/>
      <c r="E221" s="93"/>
      <c r="F221" s="386"/>
      <c r="G221" s="93">
        <f>I202/G208</f>
        <v>0.18611111111111112</v>
      </c>
      <c r="H221" s="386"/>
      <c r="I221" s="93"/>
      <c r="J221" s="750"/>
      <c r="K221" s="468"/>
    </row>
    <row r="222" spans="1:11" ht="15.75">
      <c r="A222" s="465"/>
      <c r="B222" s="384" t="s">
        <v>251</v>
      </c>
      <c r="C222" s="385" t="s">
        <v>252</v>
      </c>
      <c r="D222" s="386"/>
      <c r="E222" s="97">
        <f>MAX(0.0013,MIN(0.0024,0.0024-0.0011*(MAIN!$C$12-250)/210))</f>
        <v>0.0013</v>
      </c>
      <c r="F222" s="392"/>
      <c r="G222" s="97">
        <f>IF(MAIN!C$12&gt;=460,IF(G221&lt;0.4,0.0018,0.0013),IF(MAIN!C$12&gt;=425,IF(G221&lt;0.4,0.0021,0.0015),IF(G221&lt;0.4,0.0032,0.0024)))</f>
        <v>0.0018</v>
      </c>
      <c r="H222" s="392"/>
      <c r="I222" s="97">
        <f>MAX(0.0013,MIN(0.0024,0.0024-0.0011*(MAIN!$C$12-250)/210))</f>
        <v>0.0013</v>
      </c>
      <c r="J222" s="750" t="s">
        <v>323</v>
      </c>
      <c r="K222" s="473"/>
    </row>
    <row r="223" spans="1:11" ht="15.75">
      <c r="A223" s="465"/>
      <c r="B223" s="384" t="s">
        <v>253</v>
      </c>
      <c r="C223" s="385" t="s">
        <v>109</v>
      </c>
      <c r="D223" s="386"/>
      <c r="E223" s="96">
        <f>E222*E208*I201</f>
        <v>321.75</v>
      </c>
      <c r="F223" s="386"/>
      <c r="G223" s="96">
        <f>G222*I201*I202</f>
        <v>82.9125</v>
      </c>
      <c r="H223" s="386"/>
      <c r="I223" s="96">
        <f>I222*I208*I201</f>
        <v>321.75</v>
      </c>
      <c r="J223" s="759"/>
      <c r="K223" s="472"/>
    </row>
    <row r="224" spans="1:11" ht="15.75">
      <c r="A224" s="465"/>
      <c r="B224" s="393" t="s">
        <v>254</v>
      </c>
      <c r="C224" s="394"/>
      <c r="D224" s="386"/>
      <c r="E224" s="634" t="s">
        <v>255</v>
      </c>
      <c r="F224" s="395">
        <f>E207+E239/2-G239/2</f>
        <v>236.5</v>
      </c>
      <c r="G224" s="380" t="s">
        <v>256</v>
      </c>
      <c r="H224" s="395">
        <f>E215-E254/2+G239/2</f>
        <v>38.5</v>
      </c>
      <c r="I224" s="634"/>
      <c r="J224" s="750"/>
      <c r="K224" s="468"/>
    </row>
    <row r="225" spans="1:11" ht="15.75">
      <c r="A225" s="465"/>
      <c r="B225" s="384" t="s">
        <v>234</v>
      </c>
      <c r="C225" s="385" t="s">
        <v>87</v>
      </c>
      <c r="D225" s="386"/>
      <c r="E225" s="92">
        <f>MAX(0,Graf!X62)</f>
        <v>46.5749585573326</v>
      </c>
      <c r="F225" s="388"/>
      <c r="G225" s="92">
        <f>MAX(0,Graf!H62,Graf!R62)</f>
        <v>27.152160203384774</v>
      </c>
      <c r="H225" s="388"/>
      <c r="I225" s="92">
        <f>MAX(0,Graf!Y62)</f>
        <v>0</v>
      </c>
      <c r="J225" s="759"/>
      <c r="K225" s="468"/>
    </row>
    <row r="226" spans="1:11" ht="15.75">
      <c r="A226" s="465"/>
      <c r="B226" s="384" t="s">
        <v>235</v>
      </c>
      <c r="C226" s="385" t="s">
        <v>236</v>
      </c>
      <c r="D226" s="386"/>
      <c r="E226" s="93">
        <f>MAIN!$J$17/1000*E225</f>
        <v>41.91746270159934</v>
      </c>
      <c r="F226" s="386"/>
      <c r="G226" s="93">
        <f>MAIN!$J$17/1000*G225</f>
        <v>24.436944183046297</v>
      </c>
      <c r="H226" s="386"/>
      <c r="I226" s="93">
        <f>MAIN!$J$17/1000*I225</f>
        <v>0</v>
      </c>
      <c r="J226" s="759"/>
      <c r="K226" s="468"/>
    </row>
    <row r="227" spans="1:11" ht="15.75">
      <c r="A227" s="465"/>
      <c r="B227" s="384" t="s">
        <v>238</v>
      </c>
      <c r="C227" s="385" t="s">
        <v>13</v>
      </c>
      <c r="D227" s="386"/>
      <c r="E227" s="80">
        <f>MAIN!J$16</f>
        <v>150</v>
      </c>
      <c r="F227" s="52"/>
      <c r="G227" s="80">
        <f>E227</f>
        <v>150</v>
      </c>
      <c r="H227" s="52"/>
      <c r="I227" s="80">
        <f>G227</f>
        <v>150</v>
      </c>
      <c r="J227" s="750"/>
      <c r="K227" s="468"/>
    </row>
    <row r="228" spans="1:11" ht="15.75">
      <c r="A228" s="465"/>
      <c r="B228" s="384" t="s">
        <v>39</v>
      </c>
      <c r="C228" s="385"/>
      <c r="D228" s="386"/>
      <c r="E228" s="95">
        <f>1000000*E226/E227/MAIN!$C$11/E207^2</f>
        <v>0.13977834088738722</v>
      </c>
      <c r="F228" s="389"/>
      <c r="G228" s="95">
        <f>1000000*G226/G227/MAIN!$C$11/F224^2</f>
        <v>0.08321953854647295</v>
      </c>
      <c r="H228" s="389"/>
      <c r="I228" s="95">
        <f>1000000*I226/I227/MAIN!$C$11/I207^2</f>
        <v>0</v>
      </c>
      <c r="J228" s="750" t="s">
        <v>240</v>
      </c>
      <c r="K228" s="468"/>
    </row>
    <row r="229" spans="1:11" ht="15.75">
      <c r="A229" s="465"/>
      <c r="B229" s="384" t="s">
        <v>242</v>
      </c>
      <c r="C229" s="385" t="s">
        <v>13</v>
      </c>
      <c r="D229" s="386"/>
      <c r="E229" s="93">
        <f>E207*MIN(0.5+SQRT(0.25-MIN(E228,E209)/0.9),0.95)</f>
        <v>193.04474367630115</v>
      </c>
      <c r="F229" s="386"/>
      <c r="G229" s="93">
        <f>F224*MIN(0.5+SQRT(0.25-MIN(G228,G209)/0.9),0.95)</f>
        <v>212.1181120576101</v>
      </c>
      <c r="H229" s="386"/>
      <c r="I229" s="93">
        <f>I207*MIN(0.5+SQRT(0.25-MIN(I228,I209)/0.9),0.95)</f>
        <v>227.04999999999998</v>
      </c>
      <c r="J229" s="759" t="s">
        <v>237</v>
      </c>
      <c r="K229" s="468"/>
    </row>
    <row r="230" spans="1:11" ht="15.75">
      <c r="A230" s="465"/>
      <c r="B230" s="384" t="s">
        <v>243</v>
      </c>
      <c r="C230" s="385" t="s">
        <v>13</v>
      </c>
      <c r="D230" s="386"/>
      <c r="E230" s="93">
        <f>(E207-E229)/0.45</f>
        <v>102.12279183044188</v>
      </c>
      <c r="F230" s="386"/>
      <c r="G230" s="93">
        <f>(F224-G229)/0.45</f>
        <v>54.18197320531091</v>
      </c>
      <c r="H230" s="386"/>
      <c r="I230" s="93">
        <f>(I207-I229)/0.45</f>
        <v>26.555555555555593</v>
      </c>
      <c r="J230" s="759" t="s">
        <v>237</v>
      </c>
      <c r="K230" s="468"/>
    </row>
    <row r="231" spans="1:11" ht="15.75">
      <c r="A231" s="465"/>
      <c r="B231" s="384" t="s">
        <v>245</v>
      </c>
      <c r="C231" s="385" t="s">
        <v>11</v>
      </c>
      <c r="D231" s="386"/>
      <c r="E231" s="94">
        <f>MAX(0.001,MIN(700*(E230-E215)/E230,MAIN!$C$12/MAIN!$F$12)-IF(0.9*E230&gt;E215,0.67*MAIN!$C$11/MAIN!$F$13,0))</f>
        <v>422.46190476190475</v>
      </c>
      <c r="F231" s="386"/>
      <c r="G231" s="94">
        <f>MAX(0.001,MIN(700*(G230-H224)/G230,MAIN!$C$12/MAIN!$F$12)-IF(0.9*G230&gt;H224,0.67*MAIN!$C$11/MAIN!$F$13,0))</f>
        <v>186.9687609484902</v>
      </c>
      <c r="H231" s="386"/>
      <c r="I231" s="94">
        <f>MAX(0.001,MIN(700*(I230-I215)/I230,MAIN!$C$12/MAIN!$F$12)-IF(0.9*I230&gt;I215,0.67*MAIN!$C$11/MAIN!$F$13,0))</f>
        <v>0.001</v>
      </c>
      <c r="J231" s="750" t="s">
        <v>241</v>
      </c>
      <c r="K231" s="468"/>
    </row>
    <row r="232" spans="1:11" ht="15.75">
      <c r="A232" s="465"/>
      <c r="B232" s="384" t="s">
        <v>246</v>
      </c>
      <c r="C232" s="385" t="s">
        <v>236</v>
      </c>
      <c r="D232" s="386"/>
      <c r="E232" s="93">
        <f>MAX(0,E226-E210)</f>
        <v>0</v>
      </c>
      <c r="F232" s="386"/>
      <c r="G232" s="93">
        <f>MAX(0,G226-G210)</f>
        <v>0</v>
      </c>
      <c r="H232" s="386"/>
      <c r="I232" s="93">
        <f>MAX(0,I226-I210)</f>
        <v>0</v>
      </c>
      <c r="J232" s="750"/>
      <c r="K232" s="468"/>
    </row>
    <row r="233" spans="1:11" ht="15.75">
      <c r="A233" s="465"/>
      <c r="B233" s="384" t="s">
        <v>247</v>
      </c>
      <c r="C233" s="385" t="s">
        <v>109</v>
      </c>
      <c r="D233" s="386"/>
      <c r="E233" s="96">
        <f>1000000*MIN(E232/E231/(E207-E215),E226/MAIN!$C$12*MAIN!$F$12/(E207-E215))</f>
        <v>0</v>
      </c>
      <c r="F233" s="386"/>
      <c r="G233" s="96">
        <f>1000000*MIN(G232/G231/(F224-H224),G226/MAIN!$C$12*MAIN!$F$12/(F224-H224))</f>
        <v>0</v>
      </c>
      <c r="H233" s="386"/>
      <c r="I233" s="96">
        <f>1000000*MIN(I232/I231/(I207-I215),I226/MAIN!$C$12*MAIN!$F$12/(I207-I215))</f>
        <v>0</v>
      </c>
      <c r="J233" s="750"/>
      <c r="K233" s="468"/>
    </row>
    <row r="234" spans="1:11" ht="15.75">
      <c r="A234" s="465"/>
      <c r="B234" s="384" t="s">
        <v>248</v>
      </c>
      <c r="C234" s="385" t="s">
        <v>11</v>
      </c>
      <c r="D234" s="386"/>
      <c r="E234" s="94">
        <f>MIN(700*(E207-E230)/E230,MAIN!$C$12/MAIN!$F$12)</f>
        <v>438.0952380952381</v>
      </c>
      <c r="F234" s="386"/>
      <c r="G234" s="94">
        <f>MIN(700*(F224-G230)/G230,MAIN!$C$12/MAIN!$F$12)</f>
        <v>438.0952380952381</v>
      </c>
      <c r="H234" s="386"/>
      <c r="I234" s="94">
        <f>MIN(700*(I207-I230)/I230,MAIN!$C$12/MAIN!$F$12)</f>
        <v>438.0952380952381</v>
      </c>
      <c r="J234" s="750" t="s">
        <v>241</v>
      </c>
      <c r="K234" s="468"/>
    </row>
    <row r="235" spans="1:11" ht="15.75">
      <c r="A235" s="465"/>
      <c r="B235" s="384" t="s">
        <v>249</v>
      </c>
      <c r="C235" s="385" t="s">
        <v>109</v>
      </c>
      <c r="D235" s="386"/>
      <c r="E235" s="96">
        <f>1000000*MIN((E226-E232)/E229/E234+E233*E231/E234,E226/MAIN!$C$12*MAIN!$F$12/(E207-E215))</f>
        <v>462.2278495765523</v>
      </c>
      <c r="F235" s="386"/>
      <c r="G235" s="96">
        <f>1000000*MIN((G226-G232)/G229/G234+G233*G231/G234,G226/MAIN!$C$12*MAIN!$F$12/(F224-H224))</f>
        <v>262.96661207430867</v>
      </c>
      <c r="H235" s="386"/>
      <c r="I235" s="96">
        <f>1000000*MIN((I226-I232)/I229/I234+I233*I231/I234,I226/MAIN!$C$12*MAIN!$F$12/(I207-I215))</f>
        <v>0</v>
      </c>
      <c r="J235" s="750"/>
      <c r="K235" s="468"/>
    </row>
    <row r="236" spans="1:11" ht="15.75">
      <c r="A236" s="465"/>
      <c r="B236" s="382" t="s">
        <v>257</v>
      </c>
      <c r="C236" s="394"/>
      <c r="D236" s="386"/>
      <c r="E236" s="93"/>
      <c r="F236" s="386"/>
      <c r="G236" s="93"/>
      <c r="H236" s="386"/>
      <c r="I236" s="93"/>
      <c r="J236" s="750"/>
      <c r="K236" s="468"/>
    </row>
    <row r="237" spans="1:11" ht="15.75">
      <c r="A237" s="465"/>
      <c r="B237" s="384" t="s">
        <v>258</v>
      </c>
      <c r="C237" s="385" t="s">
        <v>109</v>
      </c>
      <c r="D237" s="386"/>
      <c r="E237" s="96">
        <f>E220*(1+E276)</f>
        <v>753.2168809764262</v>
      </c>
      <c r="F237" s="391"/>
      <c r="G237" s="96">
        <f>G220*(1+G276)</f>
        <v>871.9903185631147</v>
      </c>
      <c r="H237" s="391"/>
      <c r="I237" s="96">
        <f>I220*(1+I276)</f>
        <v>0</v>
      </c>
      <c r="J237" s="750"/>
      <c r="K237" s="468"/>
    </row>
    <row r="238" spans="1:11" ht="15.75">
      <c r="A238" s="465"/>
      <c r="B238" s="384" t="s">
        <v>259</v>
      </c>
      <c r="C238" s="385" t="s">
        <v>109</v>
      </c>
      <c r="D238" s="386"/>
      <c r="E238" s="96">
        <f>MAX(E247*$I201*$I202,E235*(1+E276))</f>
        <v>462.2278495765523</v>
      </c>
      <c r="F238" s="391"/>
      <c r="G238" s="96">
        <f>MAX(G237,G223,G235)</f>
        <v>871.9903185631147</v>
      </c>
      <c r="H238" s="391"/>
      <c r="I238" s="96">
        <f>MAX(I247*$I201*$I202,I235*(1+I276))</f>
        <v>119.76249999999999</v>
      </c>
      <c r="J238" s="750"/>
      <c r="K238" s="468"/>
    </row>
    <row r="239" spans="1:11" ht="15.75">
      <c r="A239" s="465"/>
      <c r="B239" s="384" t="s">
        <v>374</v>
      </c>
      <c r="C239" s="385" t="s">
        <v>13</v>
      </c>
      <c r="D239" s="737" t="str">
        <f>IF(MAIN!$J$11+E285&lt;E239,"! ! !","ok")</f>
        <v>ok</v>
      </c>
      <c r="E239" s="80">
        <f>SPANS!F62</f>
        <v>20</v>
      </c>
      <c r="F239" s="737" t="str">
        <f>IF(MIN(MAIN!$J$12,MAIN!$J$13)+G285&lt;G239,"! ! !","ok")</f>
        <v>ok</v>
      </c>
      <c r="G239" s="80">
        <f>SPANS!I65</f>
        <v>25</v>
      </c>
      <c r="H239" s="737" t="str">
        <f>IF(MAIN!$J$11+I285&lt;I239,"! ! !","ok")</f>
        <v>ok</v>
      </c>
      <c r="I239" s="80">
        <f>SPANS!L62</f>
        <v>20</v>
      </c>
      <c r="J239" s="750"/>
      <c r="K239" s="403" t="str">
        <f>IF(AND(AND(D239="ok",F239="ok"),H239="ok"),"","Inadequate Cover")</f>
        <v></v>
      </c>
    </row>
    <row r="240" spans="1:11" ht="15.75">
      <c r="A240" s="465"/>
      <c r="B240" s="384" t="s">
        <v>136</v>
      </c>
      <c r="C240" s="385"/>
      <c r="D240" s="738"/>
      <c r="E240" s="80">
        <f>MAX(2,CEILING(E238/PI()*4/E239^2,1))</f>
        <v>2</v>
      </c>
      <c r="F240" s="738"/>
      <c r="G240" s="80">
        <f>MAX(1,CEILING(G238/PI()*4/G239^2,1))</f>
        <v>2</v>
      </c>
      <c r="H240" s="738"/>
      <c r="I240" s="80">
        <f>MAX(2,CEILING(I238/PI()*4/I239^2,1))</f>
        <v>2</v>
      </c>
      <c r="J240" s="750"/>
      <c r="K240" s="468"/>
    </row>
    <row r="241" spans="1:11" ht="15.75">
      <c r="A241" s="465"/>
      <c r="B241" s="384" t="s">
        <v>112</v>
      </c>
      <c r="C241" s="385" t="s">
        <v>109</v>
      </c>
      <c r="D241" s="738"/>
      <c r="E241" s="96">
        <f>PI()/4*E239^2*E240</f>
        <v>628.3185307179587</v>
      </c>
      <c r="F241" s="739"/>
      <c r="G241" s="96">
        <f>PI()/4*G239^2*G240</f>
        <v>981.7477042468104</v>
      </c>
      <c r="H241" s="739"/>
      <c r="I241" s="96">
        <f>PI()/4*I239^2*I240</f>
        <v>628.3185307179587</v>
      </c>
      <c r="J241" s="750" t="str">
        <f>IF(Analysis!I180&gt;4,"! ! !"," ")</f>
        <v> </v>
      </c>
      <c r="K241" s="468"/>
    </row>
    <row r="242" spans="1:11" ht="15.75">
      <c r="A242" s="465"/>
      <c r="B242" s="384" t="s">
        <v>261</v>
      </c>
      <c r="C242" s="385" t="s">
        <v>252</v>
      </c>
      <c r="D242" s="737" t="str">
        <f>IF(E242&gt;4,"! ! !","ok")</f>
        <v>ok</v>
      </c>
      <c r="E242" s="98">
        <f>100*E241/E207/I202</f>
        <v>1.5695210909085333</v>
      </c>
      <c r="F242" s="737" t="str">
        <f>IF(G242&gt;4,"! ! !","ok")</f>
        <v>ok</v>
      </c>
      <c r="G242" s="98">
        <f>100*G241/G207/I202</f>
        <v>2.478300348355837</v>
      </c>
      <c r="H242" s="737" t="str">
        <f>IF(I242&gt;4,"! ! !","ok")</f>
        <v>ok</v>
      </c>
      <c r="I242" s="98">
        <f>100*I241/I207/I202</f>
        <v>1.5695210909085333</v>
      </c>
      <c r="J242" s="755"/>
      <c r="K242" s="403" t="str">
        <f>IF(AND(AND(D242="ok",F242="ok"),H242="ok"),"","As &gt; 4%")</f>
        <v></v>
      </c>
    </row>
    <row r="243" spans="1:11" ht="15.75">
      <c r="A243" s="465"/>
      <c r="B243" s="384" t="s">
        <v>262</v>
      </c>
      <c r="C243" s="385" t="s">
        <v>13</v>
      </c>
      <c r="D243" s="738"/>
      <c r="E243" s="94">
        <f>(MAIN!$J$16+2/MAIN!$J$18*E207-2*(MAIN!$J$13+E285)-E240*E239)/(E240-1)</f>
        <v>105.80000000000001</v>
      </c>
      <c r="F243" s="740"/>
      <c r="G243" s="94">
        <f>IF(G240=1,G244,(MAIN!$J$16+2/MAIN!$J$18*(I201-G207)-2*(MAIN!$J$13+G285)-G240*G239)/(G240-1))</f>
        <v>55.69999999999999</v>
      </c>
      <c r="H243" s="740"/>
      <c r="I243" s="94">
        <f>(MAIN!$J$16+2/MAIN!$J$18*I207-2*(MAIN!$J$13+I285)-I240*I239)/(I240-1)</f>
        <v>105.80000000000001</v>
      </c>
      <c r="J243" s="750" t="s">
        <v>263</v>
      </c>
      <c r="K243" s="468"/>
    </row>
    <row r="244" spans="1:11" ht="15.75">
      <c r="A244" s="465"/>
      <c r="B244" s="384" t="s">
        <v>264</v>
      </c>
      <c r="C244" s="385" t="s">
        <v>13</v>
      </c>
      <c r="D244" s="737" t="str">
        <f>IF(E243&lt;E244,"! ! !","ok")</f>
        <v>ok</v>
      </c>
      <c r="E244" s="94">
        <f>MAX(E239,MAIN!$F$11+5)</f>
        <v>25</v>
      </c>
      <c r="F244" s="737" t="str">
        <f>IF(G243&lt;G244,"! ! !","ok")</f>
        <v>ok</v>
      </c>
      <c r="G244" s="94">
        <f>MAX(G239,MAIN!$F$11+5)</f>
        <v>25</v>
      </c>
      <c r="H244" s="737" t="str">
        <f>IF(I243&lt;I244,"! ! !","ok")</f>
        <v>ok</v>
      </c>
      <c r="I244" s="94">
        <f>MAX(I239,MAIN!$F$11+5)</f>
        <v>25</v>
      </c>
      <c r="J244" s="750" t="s">
        <v>265</v>
      </c>
      <c r="K244" s="403" t="str">
        <f>IF(AND(AND(D244="ok",F244="ok"),H244="ok"),"","Min spacing fails")</f>
        <v></v>
      </c>
    </row>
    <row r="245" spans="1:11" ht="15.75">
      <c r="A245" s="465"/>
      <c r="B245" s="384" t="s">
        <v>266</v>
      </c>
      <c r="C245" s="385" t="s">
        <v>13</v>
      </c>
      <c r="D245" s="737" t="str">
        <f>IF(E243&gt;E245,"! ! !","ok")</f>
        <v>ok</v>
      </c>
      <c r="E245" s="94">
        <f>E147</f>
        <v>152.17391304347825</v>
      </c>
      <c r="F245" s="737" t="str">
        <f>IF(G243&gt;G245,"! ! !","ok")</f>
        <v>ok</v>
      </c>
      <c r="G245" s="94">
        <f>MIN(47000/G270,300)</f>
        <v>218.42035919271905</v>
      </c>
      <c r="H245" s="737" t="str">
        <f>IF(I243&gt;I245,"! ! !","ok")</f>
        <v>ok</v>
      </c>
      <c r="I245" s="94">
        <f>E245</f>
        <v>152.17391304347825</v>
      </c>
      <c r="J245" s="750" t="s">
        <v>267</v>
      </c>
      <c r="K245" s="403" t="str">
        <f>IF(AND(AND(D245="ok",F245="ok"),H245="ok"),"","Max spacing fails")</f>
        <v></v>
      </c>
    </row>
    <row r="246" spans="1:11" ht="15.75">
      <c r="A246" s="465"/>
      <c r="B246" s="477" t="s">
        <v>369</v>
      </c>
      <c r="C246" s="385"/>
      <c r="D246" s="737"/>
      <c r="E246" s="94"/>
      <c r="F246" s="396"/>
      <c r="G246" s="94"/>
      <c r="H246" s="396"/>
      <c r="I246" s="94"/>
      <c r="J246" s="750"/>
      <c r="K246" s="468"/>
    </row>
    <row r="247" spans="1:11" ht="15.75">
      <c r="A247" s="465"/>
      <c r="B247" s="384" t="s">
        <v>370</v>
      </c>
      <c r="C247" s="385" t="s">
        <v>252</v>
      </c>
      <c r="D247" s="396"/>
      <c r="E247" s="97">
        <f>E149</f>
        <v>0.0026</v>
      </c>
      <c r="F247" s="396"/>
      <c r="G247" s="97"/>
      <c r="H247" s="396"/>
      <c r="I247" s="97">
        <f>E247</f>
        <v>0.0026</v>
      </c>
      <c r="J247" s="750"/>
      <c r="K247" s="468"/>
    </row>
    <row r="248" spans="1:11" ht="15.75">
      <c r="A248" s="465"/>
      <c r="B248" s="384" t="s">
        <v>371</v>
      </c>
      <c r="C248" s="385" t="s">
        <v>109</v>
      </c>
      <c r="D248" s="396"/>
      <c r="E248" s="96">
        <f>MAX(0,MAX(E220,E237,E223)-E241)</f>
        <v>124.89835025846753</v>
      </c>
      <c r="F248" s="479"/>
      <c r="G248" s="96"/>
      <c r="H248" s="479"/>
      <c r="I248" s="96">
        <f>MAX(0,MAX(I220,I237,I223)-I241)</f>
        <v>0</v>
      </c>
      <c r="J248" s="750"/>
      <c r="K248" s="468"/>
    </row>
    <row r="249" spans="1:11" ht="15.75">
      <c r="A249" s="465"/>
      <c r="B249" s="384" t="s">
        <v>372</v>
      </c>
      <c r="C249" s="385" t="s">
        <v>13</v>
      </c>
      <c r="D249" s="396"/>
      <c r="E249" s="96">
        <f>HLOOKUP(SQRT(4*E248/M250/PI()),L$50:R$51,2)</f>
        <v>8</v>
      </c>
      <c r="F249" s="479"/>
      <c r="G249" s="96"/>
      <c r="H249" s="479"/>
      <c r="I249" s="96">
        <f>HLOOKUP(SQRT(4*I248/N250/PI()),L$50:R$51,2)</f>
        <v>8</v>
      </c>
      <c r="J249" s="750"/>
      <c r="K249" s="468"/>
    </row>
    <row r="250" spans="1:14" ht="15.75">
      <c r="A250" s="465"/>
      <c r="B250" s="384" t="s">
        <v>136</v>
      </c>
      <c r="C250" s="385"/>
      <c r="D250" s="396"/>
      <c r="E250" s="96">
        <f>MAX(M250,CEILING(E248/PI()*4/E249^2,1))</f>
        <v>4</v>
      </c>
      <c r="F250" s="479"/>
      <c r="G250" s="96"/>
      <c r="H250" s="479"/>
      <c r="I250" s="96">
        <f>MAX(N250,CEILING(I248/PI()*4/I249^2,1))</f>
        <v>4</v>
      </c>
      <c r="J250" s="750"/>
      <c r="K250" s="468"/>
      <c r="L250" s="478" t="s">
        <v>373</v>
      </c>
      <c r="M250" s="478">
        <f>MAX(CEILING((MAIN!$J$17-(E243+E239)*(E240-1))/(E245+E239),1)-1,1)</f>
        <v>4</v>
      </c>
      <c r="N250" s="478">
        <f>MAX(CEILING((MAIN!$J$17-(I243+I239)*(I240-1))/(I245+I239),1)-1,1)</f>
        <v>4</v>
      </c>
    </row>
    <row r="251" spans="1:11" ht="15.75">
      <c r="A251" s="465"/>
      <c r="B251" s="384" t="s">
        <v>112</v>
      </c>
      <c r="C251" s="385" t="s">
        <v>109</v>
      </c>
      <c r="D251" s="396"/>
      <c r="E251" s="96">
        <f>IF(G201=0,0,PI()/4*E249^2*E250)</f>
        <v>201.06192982974676</v>
      </c>
      <c r="F251" s="396"/>
      <c r="G251" s="94"/>
      <c r="H251" s="396"/>
      <c r="I251" s="96">
        <f>PI()/4*I249^2*I250</f>
        <v>201.06192982974676</v>
      </c>
      <c r="J251" s="750"/>
      <c r="K251" s="468"/>
    </row>
    <row r="252" spans="1:11" ht="15.75">
      <c r="A252" s="465"/>
      <c r="B252" s="382" t="s">
        <v>268</v>
      </c>
      <c r="C252" s="394"/>
      <c r="D252" s="386"/>
      <c r="E252" s="93"/>
      <c r="F252" s="386"/>
      <c r="G252" s="93"/>
      <c r="H252" s="386"/>
      <c r="I252" s="93"/>
      <c r="J252" s="750"/>
      <c r="K252" s="468"/>
    </row>
    <row r="253" spans="1:11" ht="15.75">
      <c r="A253" s="465"/>
      <c r="B253" s="384" t="s">
        <v>269</v>
      </c>
      <c r="C253" s="385" t="s">
        <v>109</v>
      </c>
      <c r="D253" s="386"/>
      <c r="E253" s="96">
        <f>MAX(IF(E206=0,0.5,0.3)*$G241,IF(E232=0,0,MAX(E218,E233,0.002*I202*I201)))</f>
        <v>294.5243112740431</v>
      </c>
      <c r="F253" s="386"/>
      <c r="G253" s="96">
        <f>MAX(G218,G235,IF(G217=0,0,0.004*I201*G208),IF(G235=0,0,IF(MAIN!C$12&lt;425,0.0024,0.0013)*I202*I201))</f>
        <v>262.96661207430867</v>
      </c>
      <c r="H253" s="386"/>
      <c r="I253" s="96">
        <f>MAX(IF(I206=0,0.5,0.3)*$G241,IF(I232=0,0,MAX(I218,I233,0.002*I202*I201)))</f>
        <v>490.8738521234052</v>
      </c>
      <c r="J253" s="750" t="s">
        <v>323</v>
      </c>
      <c r="K253" s="468"/>
    </row>
    <row r="254" spans="1:11" ht="15.75">
      <c r="A254" s="465"/>
      <c r="B254" s="384" t="s">
        <v>260</v>
      </c>
      <c r="C254" s="385" t="s">
        <v>13</v>
      </c>
      <c r="D254" s="737" t="str">
        <f>IF(MIN(MAIN!$J$12,MAIN!$J$13)+E285&lt;E254,"! ! !","ok")</f>
        <v>ok</v>
      </c>
      <c r="E254" s="80">
        <f>SPANS!F65</f>
        <v>12</v>
      </c>
      <c r="F254" s="737" t="str">
        <f>IF(MAIN!$J$11+G285&lt;G254,"! ! !","ok")</f>
        <v>ok</v>
      </c>
      <c r="G254" s="80">
        <f>SPANS!I62</f>
        <v>12</v>
      </c>
      <c r="H254" s="737" t="str">
        <f>IF(MIN(MAIN!$J$12,MAIN!$J$13)+I285&lt;I254,"! ! !","ok")</f>
        <v>ok</v>
      </c>
      <c r="I254" s="80">
        <f>SPANS!L65</f>
        <v>16</v>
      </c>
      <c r="J254" s="750"/>
      <c r="K254" s="403" t="str">
        <f>IF(AND(AND(D254="ok",F254="ok"),H254="ok"),"","Inadequate Cover")</f>
        <v></v>
      </c>
    </row>
    <row r="255" spans="1:11" ht="15.75">
      <c r="A255" s="465"/>
      <c r="B255" s="384" t="s">
        <v>136</v>
      </c>
      <c r="C255" s="385"/>
      <c r="D255" s="738"/>
      <c r="E255" s="80">
        <f>MAX(1,CEILING(E253/PI()*4/E254^2,1))</f>
        <v>3</v>
      </c>
      <c r="F255" s="738"/>
      <c r="G255" s="80">
        <f>IF(G254=0,0,MAX(1,CEILING(G253/PI()*4/G254^2,1)))</f>
        <v>3</v>
      </c>
      <c r="H255" s="738"/>
      <c r="I255" s="80">
        <f>MAX(1,CEILING(I253/PI()*4/I254^2,1))</f>
        <v>3</v>
      </c>
      <c r="J255" s="750"/>
      <c r="K255" s="468"/>
    </row>
    <row r="256" spans="1:11" ht="15.75">
      <c r="A256" s="465"/>
      <c r="B256" s="384" t="s">
        <v>114</v>
      </c>
      <c r="C256" s="385" t="s">
        <v>109</v>
      </c>
      <c r="D256" s="738"/>
      <c r="E256" s="96">
        <f>PI()/4*E254^2*E255</f>
        <v>339.29200658769764</v>
      </c>
      <c r="F256" s="738"/>
      <c r="G256" s="96">
        <f>PI()/4*G254^2*G255</f>
        <v>339.29200658769764</v>
      </c>
      <c r="H256" s="738"/>
      <c r="I256" s="96">
        <f>PI()/4*I254^2*I255</f>
        <v>603.1857894892403</v>
      </c>
      <c r="J256" s="750"/>
      <c r="K256" s="468"/>
    </row>
    <row r="257" spans="1:11" ht="15.75">
      <c r="A257" s="465"/>
      <c r="B257" s="384" t="s">
        <v>261</v>
      </c>
      <c r="C257" s="385" t="s">
        <v>252</v>
      </c>
      <c r="D257" s="737" t="str">
        <f>IF(E257&gt;4,"! ! !","ok")</f>
        <v>ok</v>
      </c>
      <c r="E257" s="99">
        <f>100*E256/E207/I202</f>
        <v>0.8475413890906079</v>
      </c>
      <c r="F257" s="737" t="str">
        <f>IF(G257&gt;4,"! ! !","ok")</f>
        <v>ok</v>
      </c>
      <c r="G257" s="99">
        <f>100*G256/G207/I202</f>
        <v>0.8565006003917771</v>
      </c>
      <c r="H257" s="737" t="str">
        <f>IF(I257&gt;4,"! ! !","ok")</f>
        <v>ok</v>
      </c>
      <c r="I257" s="99">
        <f>100*I256/I207/I202</f>
        <v>1.506740247272192</v>
      </c>
      <c r="J257" s="750" t="s">
        <v>445</v>
      </c>
      <c r="K257" s="403" t="str">
        <f>IF(AND(AND(D257="ok",F257="ok"),H257="ok"),"","As &gt; 4%")</f>
        <v></v>
      </c>
    </row>
    <row r="258" spans="1:11" ht="15.75">
      <c r="A258" s="465"/>
      <c r="B258" s="384" t="s">
        <v>262</v>
      </c>
      <c r="C258" s="385" t="s">
        <v>13</v>
      </c>
      <c r="D258" s="738"/>
      <c r="E258" s="94">
        <f>IF(E255&lt;2,0,(MAIN!$J$16+2/MAIN!$J$18*E215-2*(MAIN!$J$13+E285)-E254*E255)/(E255-1))</f>
        <v>34.2</v>
      </c>
      <c r="F258" s="738"/>
      <c r="G258" s="94">
        <f>IF(G255&lt;2,0,(MAIN!$J$16+2/MAIN!$J$18*(I201-G215)-2*(MAIN!$J$13+G285)-G254*G255)/(G255-1))</f>
        <v>55.3</v>
      </c>
      <c r="H258" s="738"/>
      <c r="I258" s="94">
        <f>IF(I255&lt;2,0,(MAIN!$J$16+2/MAIN!$J$18*I215-2*(MAIN!$J$13+I285)-I254*I255)/(I255-1))</f>
        <v>28.400000000000006</v>
      </c>
      <c r="J258" s="750" t="s">
        <v>263</v>
      </c>
      <c r="K258" s="468"/>
    </row>
    <row r="259" spans="1:11" ht="15.75">
      <c r="A259" s="465"/>
      <c r="B259" s="384" t="s">
        <v>264</v>
      </c>
      <c r="C259" s="385" t="s">
        <v>13</v>
      </c>
      <c r="D259" s="737" t="str">
        <f>IF(E258&lt;E259,"! ! !","ok")</f>
        <v>ok</v>
      </c>
      <c r="E259" s="94">
        <f>IF(E255&lt;2,0,MAX(E254,MAIN!$F$11+5))</f>
        <v>25</v>
      </c>
      <c r="F259" s="737" t="str">
        <f>IF(G258&lt;G259,"! ! !","ok")</f>
        <v>ok</v>
      </c>
      <c r="G259" s="94">
        <f>IF(G255&lt;2,0,MAX(G254,MAIN!$F$11+5))</f>
        <v>25</v>
      </c>
      <c r="H259" s="737" t="str">
        <f>IF(I258&lt;I259,"! ! !","ok")</f>
        <v>ok</v>
      </c>
      <c r="I259" s="94">
        <f>IF(I255&lt;2,0,MAX(I254,MAIN!$F$11+5))</f>
        <v>25</v>
      </c>
      <c r="J259" s="750" t="s">
        <v>265</v>
      </c>
      <c r="K259" s="403" t="str">
        <f>IF(AND(AND(D259="ok",F259="ok"),H259="ok"),"","Min spacing fails")</f>
        <v></v>
      </c>
    </row>
    <row r="260" spans="1:11" ht="15.75">
      <c r="A260" s="465"/>
      <c r="B260" s="384"/>
      <c r="C260" s="385"/>
      <c r="D260" s="396"/>
      <c r="E260" s="671"/>
      <c r="F260" s="396"/>
      <c r="G260" s="671"/>
      <c r="H260" s="737"/>
      <c r="I260" s="671"/>
      <c r="J260" s="750"/>
      <c r="K260" s="403"/>
    </row>
    <row r="261" spans="1:11" ht="16.5" thickBot="1">
      <c r="A261" s="465"/>
      <c r="B261" s="400"/>
      <c r="C261" s="401"/>
      <c r="D261" s="402"/>
      <c r="E261" s="401"/>
      <c r="F261" s="402"/>
      <c r="G261" s="401"/>
      <c r="H261" s="402"/>
      <c r="I261" s="401"/>
      <c r="J261" s="749"/>
      <c r="K261" s="403"/>
    </row>
    <row r="262" spans="1:11" ht="17.25" thickBot="1" thickTop="1">
      <c r="A262" s="465"/>
      <c r="B262" s="691"/>
      <c r="C262" s="691"/>
      <c r="D262" s="692"/>
      <c r="E262" s="693"/>
      <c r="F262" s="691"/>
      <c r="G262" s="693"/>
      <c r="H262" s="691"/>
      <c r="I262" s="693"/>
      <c r="J262" s="756"/>
      <c r="K262" s="403"/>
    </row>
    <row r="263" spans="1:11" ht="18">
      <c r="A263" s="465"/>
      <c r="B263" s="539" t="str">
        <f>B$2</f>
        <v> Project</v>
      </c>
      <c r="C263" s="540" t="str">
        <f>C$2</f>
        <v>Spreadsheets to BS 8110</v>
      </c>
      <c r="D263" s="542"/>
      <c r="E263" s="542"/>
      <c r="F263" s="542"/>
      <c r="G263" s="541"/>
      <c r="H263" s="542"/>
      <c r="I263" s="542"/>
      <c r="J263" s="753"/>
      <c r="K263" s="403"/>
    </row>
    <row r="264" spans="1:11" ht="18">
      <c r="A264" s="465"/>
      <c r="B264" s="543" t="str">
        <f>B$3</f>
        <v> Location</v>
      </c>
      <c r="C264" s="544" t="str">
        <f>C$3</f>
        <v>3rd Floor slab,  from 1 to 5a</v>
      </c>
      <c r="D264" s="545"/>
      <c r="E264" s="545"/>
      <c r="F264" s="545"/>
      <c r="G264" s="558" t="s">
        <v>413</v>
      </c>
      <c r="H264" s="545"/>
      <c r="I264" s="545"/>
      <c r="J264" s="754"/>
      <c r="K264" s="403"/>
    </row>
    <row r="265" spans="1:11" ht="15.75">
      <c r="A265" s="465"/>
      <c r="B265" s="546"/>
      <c r="C265" s="547" t="str">
        <f>C$4</f>
        <v>RIBBED SLABS to BS 8110:1997 (Analysis &amp; Design)</v>
      </c>
      <c r="D265" s="545"/>
      <c r="E265" s="545"/>
      <c r="F265" s="545"/>
      <c r="G265" s="122"/>
      <c r="H265" s="122"/>
      <c r="I265" s="122"/>
      <c r="J265" s="766" t="str">
        <f>J$4</f>
        <v>Made by  rmw    Job No  R68</v>
      </c>
      <c r="K265" s="403"/>
    </row>
    <row r="266" spans="1:11" ht="16.5" thickBot="1">
      <c r="A266" s="465"/>
      <c r="B266" s="549"/>
      <c r="C266" s="550" t="str">
        <f>C$5</f>
        <v>Originated from  RCC32.xls v2.2 on CD               © 2000-2003 BCA for RCC</v>
      </c>
      <c r="D266" s="552"/>
      <c r="E266" s="552"/>
      <c r="F266" s="552"/>
      <c r="G266" s="551"/>
      <c r="H266" s="551"/>
      <c r="I266" s="553" t="str">
        <f>I$5</f>
        <v> Date</v>
      </c>
      <c r="J266" s="767">
        <f>J$5</f>
        <v>39305</v>
      </c>
      <c r="K266" s="403"/>
    </row>
    <row r="267" spans="1:11" ht="15.75">
      <c r="A267" s="465"/>
      <c r="B267" s="384" t="s">
        <v>411</v>
      </c>
      <c r="C267" s="385"/>
      <c r="D267" s="396"/>
      <c r="E267" s="385"/>
      <c r="F267" s="385"/>
      <c r="G267" s="385"/>
      <c r="H267" s="385"/>
      <c r="I267" s="640"/>
      <c r="J267" s="748"/>
      <c r="K267" s="403"/>
    </row>
    <row r="268" spans="1:11" ht="15.75">
      <c r="A268" s="465"/>
      <c r="B268" s="384"/>
      <c r="C268" s="385"/>
      <c r="D268" s="396"/>
      <c r="E268" s="673"/>
      <c r="F268" s="385"/>
      <c r="G268" s="673"/>
      <c r="H268" s="385"/>
      <c r="I268" s="674"/>
      <c r="J268" s="750"/>
      <c r="K268" s="403"/>
    </row>
    <row r="269" spans="1:11" ht="15.75">
      <c r="A269" s="465"/>
      <c r="B269" s="382" t="s">
        <v>270</v>
      </c>
      <c r="C269" s="394"/>
      <c r="D269" s="386"/>
      <c r="E269" s="93"/>
      <c r="F269" s="386"/>
      <c r="G269" s="93"/>
      <c r="H269" s="386"/>
      <c r="I269" s="761"/>
      <c r="J269" s="750"/>
      <c r="K269" s="468"/>
    </row>
    <row r="270" spans="1:11" ht="15.75">
      <c r="A270" s="465"/>
      <c r="B270" s="384" t="s">
        <v>271</v>
      </c>
      <c r="C270" s="385" t="s">
        <v>11</v>
      </c>
      <c r="D270" s="386"/>
      <c r="E270" s="94">
        <f>MAX(0.00001,2/3*MAIN!$C$12*E220/(E241+E251)/E204)</f>
        <v>327.6528064214063</v>
      </c>
      <c r="F270" s="390"/>
      <c r="G270" s="94">
        <f>MAX(0.00001,2/3*MAIN!$C$12*G220/G241/G204)</f>
        <v>215.18140604525993</v>
      </c>
      <c r="H270" s="390"/>
      <c r="I270" s="94">
        <f>MAX(1,2/3*MAIN!$C$12*I220/(I241+I251)/I204)</f>
        <v>1</v>
      </c>
      <c r="J270" s="750" t="s">
        <v>327</v>
      </c>
      <c r="K270" s="468"/>
    </row>
    <row r="271" spans="1:11" ht="15.75">
      <c r="A271" s="465"/>
      <c r="B271" s="384" t="s">
        <v>272</v>
      </c>
      <c r="C271" s="385"/>
      <c r="D271" s="386"/>
      <c r="E271" s="93">
        <f>7*IF(G201&gt;10,10/G201,1)</f>
        <v>7</v>
      </c>
      <c r="F271" s="386"/>
      <c r="G271" s="93">
        <f>MAX(IF(SPANS!S$2=1,16,20.8),IF(SPANS!S$2=1,20,26)-5.2/0.7*(1-G221))*IF(G201&gt;10,10/G201,1)</f>
        <v>20.8</v>
      </c>
      <c r="H271" s="386"/>
      <c r="I271" s="93"/>
      <c r="J271" s="750" t="s">
        <v>273</v>
      </c>
      <c r="K271" s="468"/>
    </row>
    <row r="272" spans="1:11" ht="15.75">
      <c r="A272" s="465"/>
      <c r="B272" s="384" t="s">
        <v>274</v>
      </c>
      <c r="C272" s="385"/>
      <c r="D272" s="386"/>
      <c r="E272" s="93">
        <f>MIN(0.55+(477-E270)/120/(0.9+MAIN!C$11*E212),2)</f>
        <v>1.0779427909677046</v>
      </c>
      <c r="F272" s="386"/>
      <c r="G272" s="93">
        <f>MIN(0.55+(477-G270)/120/(0.9+MAIN!C$11*G212),2)</f>
        <v>1.5554184528622577</v>
      </c>
      <c r="H272" s="386"/>
      <c r="I272" s="93"/>
      <c r="J272" s="750" t="s">
        <v>325</v>
      </c>
      <c r="K272" s="468"/>
    </row>
    <row r="273" spans="1:11" ht="15.75">
      <c r="A273" s="465"/>
      <c r="B273" s="384" t="s">
        <v>276</v>
      </c>
      <c r="C273" s="385"/>
      <c r="D273" s="386"/>
      <c r="E273" s="93">
        <v>1</v>
      </c>
      <c r="F273" s="386"/>
      <c r="G273" s="93">
        <f>MIN(1.5,1+100*G256/G207/G208/(3+100*G256/G207/G208))</f>
        <v>1.0504539034449427</v>
      </c>
      <c r="H273" s="386"/>
      <c r="I273" s="93"/>
      <c r="J273" s="750" t="s">
        <v>275</v>
      </c>
      <c r="K273" s="468"/>
    </row>
    <row r="274" spans="1:11" ht="15.75">
      <c r="A274" s="465"/>
      <c r="B274" s="384" t="s">
        <v>277</v>
      </c>
      <c r="C274" s="385"/>
      <c r="D274" s="683" t="str">
        <f>IF(AND(MAIN!I$22=4,MAIN!J$22="C"),"Cant","-")</f>
        <v>-</v>
      </c>
      <c r="E274" s="682">
        <f>IF(LEFT(D274,1)="C",E271*E272*E273*IF(MAIN!C$14&lt;20,0.85,1),0)</f>
        <v>0</v>
      </c>
      <c r="F274" s="386"/>
      <c r="G274" s="93">
        <f>IF(LEFT(D274,1)="C",0,G271*G272*G273*IF(MAIN!C$14&lt;20,0.85,1))</f>
        <v>33.98502401422861</v>
      </c>
      <c r="H274" s="386"/>
      <c r="I274" s="93"/>
      <c r="J274" s="750" t="s">
        <v>278</v>
      </c>
      <c r="K274" s="468"/>
    </row>
    <row r="275" spans="1:11" ht="15.75">
      <c r="A275" s="465"/>
      <c r="B275" s="384" t="s">
        <v>279</v>
      </c>
      <c r="C275" s="385"/>
      <c r="D275" s="741" t="str">
        <f>IF(E275&gt;E274,"! ! !","ok")</f>
        <v>ok</v>
      </c>
      <c r="E275" s="93">
        <f>IF(LEFT(D274,1)="C",1000*G201/E207,0)</f>
        <v>0</v>
      </c>
      <c r="F275" s="737" t="str">
        <f>IF(G275&gt;G274,"! ! !","ok")</f>
        <v>ok</v>
      </c>
      <c r="G275" s="93">
        <f>IF(LEFT(D274,1)="C",0,1000*G201/G207)</f>
        <v>31.712473572938688</v>
      </c>
      <c r="H275" s="396"/>
      <c r="I275" s="93"/>
      <c r="J275" s="750" t="s">
        <v>280</v>
      </c>
      <c r="K275" s="403" t="str">
        <f>IF(AND(D275="ok",F275="ok"),"","Deflection failure")</f>
        <v></v>
      </c>
    </row>
    <row r="276" spans="1:11" ht="15.75">
      <c r="A276" s="465"/>
      <c r="B276" s="384" t="s">
        <v>281</v>
      </c>
      <c r="C276" s="385" t="s">
        <v>252</v>
      </c>
      <c r="D276" s="386"/>
      <c r="E276" s="93">
        <f>IF(LEFT(D274,1)="C",0,MAX(0,(2/3*MAIN!$C$12*E220/(477-120*(MIN(2,E275/(E271*E273*IF(MAIN!A$14&lt;20,0.85,1)))-0.55)*(0.9+MAIN!A$11*E212))/E204)/E220-1))</f>
        <v>0</v>
      </c>
      <c r="F276" s="386"/>
      <c r="G276" s="682">
        <f>IF(LEFT(D274,1)="C",0,MAX(0,(2/3*MAIN!$C$12*G220/(477-120*(MIN(2,G275/(G271*G273*IF(MAIN!C$14&lt;20,0.85,1)))-0.55)*(0.9+MAIN!C$11*G212))/G204)/G220-1))</f>
        <v>0.3424706615390778</v>
      </c>
      <c r="H276" s="386"/>
      <c r="I276" s="682"/>
      <c r="J276" s="750"/>
      <c r="K276" s="468"/>
    </row>
    <row r="277" spans="1:11" ht="15.75">
      <c r="A277" s="465"/>
      <c r="B277" s="397"/>
      <c r="C277" s="394"/>
      <c r="D277" s="386"/>
      <c r="E277" s="93"/>
      <c r="F277" s="386"/>
      <c r="G277" s="93"/>
      <c r="H277" s="386"/>
      <c r="I277" s="93"/>
      <c r="J277" s="750"/>
      <c r="K277" s="468"/>
    </row>
    <row r="278" spans="1:11" ht="15.75">
      <c r="A278" s="465"/>
      <c r="B278" s="382" t="s">
        <v>282</v>
      </c>
      <c r="C278" s="122"/>
      <c r="D278" s="386"/>
      <c r="E278" s="632"/>
      <c r="F278" s="387"/>
      <c r="G278" s="100"/>
      <c r="H278" s="387"/>
      <c r="I278" s="632"/>
      <c r="J278" s="750"/>
      <c r="K278" s="468"/>
    </row>
    <row r="279" spans="1:11" ht="15.75">
      <c r="A279" s="465"/>
      <c r="B279" s="384" t="s">
        <v>328</v>
      </c>
      <c r="C279" s="385" t="s">
        <v>71</v>
      </c>
      <c r="D279" s="398"/>
      <c r="E279" s="92">
        <f>MAX(Analysis!D216:D218)</f>
        <v>68.29700496866961</v>
      </c>
      <c r="F279" s="399"/>
      <c r="G279" s="101"/>
      <c r="H279" s="399"/>
      <c r="I279" s="92">
        <f>MAX(Analysis!J216:J218)</f>
        <v>46.55126016534448</v>
      </c>
      <c r="J279" s="755"/>
      <c r="K279" s="468"/>
    </row>
    <row r="280" spans="1:11" ht="15.75">
      <c r="A280" s="465"/>
      <c r="B280" s="384" t="s">
        <v>332</v>
      </c>
      <c r="C280" s="385" t="s">
        <v>283</v>
      </c>
      <c r="D280" s="386"/>
      <c r="E280" s="100">
        <f>MAX(MAIN!E20,E207)/1000</f>
        <v>1.1</v>
      </c>
      <c r="F280" s="388"/>
      <c r="G280" s="92"/>
      <c r="H280" s="388"/>
      <c r="I280" s="100">
        <f>MAX(MAIN!F20,I207)/1000</f>
        <v>0.45</v>
      </c>
      <c r="J280" s="750" t="s">
        <v>331</v>
      </c>
      <c r="K280" s="468"/>
    </row>
    <row r="281" spans="1:11" ht="15.75">
      <c r="A281" s="465"/>
      <c r="B281" s="384" t="s">
        <v>284</v>
      </c>
      <c r="C281" s="385" t="s">
        <v>285</v>
      </c>
      <c r="D281" s="386"/>
      <c r="E281" s="93">
        <f>(E279-Analysis!F298*E280-Analysis!F299)*MAIN!$J$17/1000</f>
        <v>46.13616447180265</v>
      </c>
      <c r="F281" s="386"/>
      <c r="G281" s="93"/>
      <c r="H281" s="386"/>
      <c r="I281" s="93">
        <f>(I279-Analysis!F298*I280-Analysis!F300)*MAIN!$J$17/1000</f>
        <v>35.62430414881003</v>
      </c>
      <c r="J281" s="750"/>
      <c r="K281" s="468"/>
    </row>
    <row r="282" spans="1:11" ht="15.75">
      <c r="A282" s="465"/>
      <c r="B282" s="384" t="s">
        <v>117</v>
      </c>
      <c r="C282" s="385" t="s">
        <v>11</v>
      </c>
      <c r="D282" s="386"/>
      <c r="E282" s="95">
        <f>1000*E281/$I202/E207</f>
        <v>1.1524677317630088</v>
      </c>
      <c r="F282" s="386"/>
      <c r="G282" s="95"/>
      <c r="H282" s="386"/>
      <c r="I282" s="95">
        <f>1000*I281/$I202/I207</f>
        <v>0.8898845725050905</v>
      </c>
      <c r="J282" s="750" t="s">
        <v>326</v>
      </c>
      <c r="K282" s="468"/>
    </row>
    <row r="283" spans="1:11" ht="15.75">
      <c r="A283" s="465"/>
      <c r="B283" s="384" t="s">
        <v>118</v>
      </c>
      <c r="C283" s="385" t="s">
        <v>11</v>
      </c>
      <c r="D283" s="386"/>
      <c r="E283" s="95">
        <f>0.632*MAX(1,400/E207)^0.25*MIN(3,100*MAX(E241,E256)/$I202/E207)^0.3333333*(MIN(MAIN!$C$11,40)/25)^0.3333333*IF(MAIN!$C$14&lt;20,0.8,1)</f>
        <v>0.9345394807245901</v>
      </c>
      <c r="F283" s="386"/>
      <c r="G283" s="95" t="str">
        <f>G176</f>
        <v>NOMINAL</v>
      </c>
      <c r="H283" s="386"/>
      <c r="I283" s="95">
        <f>0.632*MAX(1,400/I207)^0.25*MIN(3,100*MAX(I241,I256)/$I202/I207)^0.3333333*(MIN(MAIN!$C$11,40)/25)^0.3333333*IF(MAIN!$C$14&lt;20,0.8,1)</f>
        <v>0.9345394807245901</v>
      </c>
      <c r="J283" s="750" t="s">
        <v>287</v>
      </c>
      <c r="K283" s="468"/>
    </row>
    <row r="284" spans="1:11" ht="15.75">
      <c r="A284" s="465"/>
      <c r="B284" s="384" t="s">
        <v>329</v>
      </c>
      <c r="C284" s="385" t="s">
        <v>286</v>
      </c>
      <c r="D284" s="386"/>
      <c r="E284" s="94">
        <f>MAX(0.4,E282-E283)*$I202</f>
        <v>67</v>
      </c>
      <c r="F284" s="390"/>
      <c r="G284" s="94">
        <f>L$87*I202</f>
        <v>0.0001675</v>
      </c>
      <c r="H284" s="390"/>
      <c r="I284" s="94">
        <f>MAX(0.4,I282-I283)*$I202</f>
        <v>67</v>
      </c>
      <c r="J284" s="750" t="s">
        <v>324</v>
      </c>
      <c r="K284" s="468"/>
    </row>
    <row r="285" spans="1:11" ht="15.75">
      <c r="A285" s="465"/>
      <c r="B285" s="384" t="s">
        <v>119</v>
      </c>
      <c r="C285" s="385" t="s">
        <v>13</v>
      </c>
      <c r="D285" s="386"/>
      <c r="E285" s="80">
        <f>SPANS!I69</f>
        <v>6</v>
      </c>
      <c r="F285" s="52"/>
      <c r="G285" s="80">
        <f>E285</f>
        <v>6</v>
      </c>
      <c r="H285" s="52"/>
      <c r="I285" s="80">
        <f>E285</f>
        <v>6</v>
      </c>
      <c r="J285" s="750" t="s">
        <v>288</v>
      </c>
      <c r="K285" s="468"/>
    </row>
    <row r="286" spans="1:11" ht="15.75">
      <c r="A286" s="465"/>
      <c r="B286" s="384" t="s">
        <v>289</v>
      </c>
      <c r="C286" s="385" t="s">
        <v>13</v>
      </c>
      <c r="D286" s="386"/>
      <c r="E286" s="96">
        <f>FLOOR(MIN(0.75*E207,0.75*G207,PI()/2*E285^2*MAIN!$C$13/MAIN!$F$12/E284,IF(E233&gt;0,12*E254,600)),5)</f>
        <v>175</v>
      </c>
      <c r="F286" s="386"/>
      <c r="G286" s="96">
        <f>K13</f>
        <v>1200</v>
      </c>
      <c r="H286" s="386"/>
      <c r="I286" s="96">
        <f>FLOOR(MIN(0.75*I207,0.75*G207,PI()/2*I285^2*MAIN!$C$13/MAIN!$F$12/I284,IF(I233&gt;0,12*I254,600)),5)</f>
        <v>175</v>
      </c>
      <c r="J286" s="750" t="s">
        <v>290</v>
      </c>
      <c r="K286" s="468"/>
    </row>
    <row r="287" spans="1:11" ht="15.75">
      <c r="A287" s="465"/>
      <c r="B287" s="384" t="s">
        <v>291</v>
      </c>
      <c r="C287" s="385" t="s">
        <v>13</v>
      </c>
      <c r="D287" s="386"/>
      <c r="E287" s="80">
        <f>CEILING(MAX(0,(1000*E281-E283*$I202*E207)/Analysis!$F216),E286)</f>
        <v>700</v>
      </c>
      <c r="F287" s="386"/>
      <c r="G287" s="80">
        <f>CEILING(MAX(0,1000*(G201-E280-I280)-50-E287-I287-2*G286),G286)</f>
        <v>3600</v>
      </c>
      <c r="H287" s="386"/>
      <c r="I287" s="80">
        <f>CEILING(MAX(0,(1000*I281-I283*$I202*I207)/Analysis!$F216),I286)</f>
        <v>0</v>
      </c>
      <c r="J287" s="750" t="s">
        <v>292</v>
      </c>
      <c r="K287" s="468"/>
    </row>
    <row r="288" spans="1:11" ht="15.75">
      <c r="A288" s="465"/>
      <c r="B288" s="384" t="s">
        <v>293</v>
      </c>
      <c r="C288" s="385" t="s">
        <v>13</v>
      </c>
      <c r="D288" s="396"/>
      <c r="E288" s="18"/>
      <c r="F288" s="737" t="str">
        <f>IF(G288&gt;MIN(G207,150),"! ! !","ok")</f>
        <v>ok</v>
      </c>
      <c r="G288" s="80">
        <f>INT(CEILING(G240-1,1)/2)*(G243+G239)</f>
        <v>0</v>
      </c>
      <c r="H288" s="390"/>
      <c r="I288" s="18"/>
      <c r="J288" s="750" t="s">
        <v>294</v>
      </c>
      <c r="K288" s="403" t="str">
        <f>IF(F288="ok","","Too far from link")</f>
        <v></v>
      </c>
    </row>
    <row r="289" spans="1:11" ht="15.75">
      <c r="A289" s="465"/>
      <c r="B289" s="654" t="s">
        <v>295</v>
      </c>
      <c r="C289" s="646" t="s">
        <v>13</v>
      </c>
      <c r="D289" s="742" t="str">
        <f>IF(E289&gt;150,"FAILS","ok")</f>
        <v>ok</v>
      </c>
      <c r="E289" s="655">
        <f>INT(CEILING(E255-1,1)/2)*(E258+E254)</f>
        <v>46.2</v>
      </c>
      <c r="F289" s="742" t="str">
        <f>IF(G289&gt;150,"! ! !","ok")</f>
        <v>ok</v>
      </c>
      <c r="G289" s="655">
        <f>INT(CEILING(G255-1,1)/2)*(G258+G254)</f>
        <v>67.3</v>
      </c>
      <c r="H289" s="742" t="str">
        <f>IF(I289&gt;150,"FAILS","ok")</f>
        <v>ok</v>
      </c>
      <c r="I289" s="655">
        <f>INT(CEILING(I255-1,1)/2)*(I258+I254)</f>
        <v>44.400000000000006</v>
      </c>
      <c r="J289" s="747" t="s">
        <v>296</v>
      </c>
      <c r="K289" s="403" t="str">
        <f>IF(AND(AND(H289="ok",F289="ok"),H289="ok"),"","Too far from link")</f>
        <v></v>
      </c>
    </row>
    <row r="290" spans="1:11" ht="15.75">
      <c r="A290" s="465"/>
      <c r="B290" s="384"/>
      <c r="C290" s="646"/>
      <c r="D290" s="647"/>
      <c r="E290" s="655"/>
      <c r="F290" s="647"/>
      <c r="G290" s="655"/>
      <c r="H290" s="647"/>
      <c r="I290" s="655"/>
      <c r="J290" s="750"/>
      <c r="K290" s="403"/>
    </row>
    <row r="291" spans="1:11" ht="15.75">
      <c r="A291" s="465"/>
      <c r="B291" s="384"/>
      <c r="C291" s="646"/>
      <c r="D291" s="647"/>
      <c r="E291" s="658"/>
      <c r="F291" s="647"/>
      <c r="G291" s="658"/>
      <c r="H291" s="647"/>
      <c r="I291" s="658"/>
      <c r="J291" s="750"/>
      <c r="K291" s="403"/>
    </row>
    <row r="292" spans="1:11" ht="15.75">
      <c r="A292" s="465"/>
      <c r="B292" s="384"/>
      <c r="C292" s="646"/>
      <c r="D292" s="647"/>
      <c r="E292" s="648"/>
      <c r="F292" s="647"/>
      <c r="G292" s="648"/>
      <c r="H292" s="647"/>
      <c r="I292" s="648"/>
      <c r="J292" s="750"/>
      <c r="K292" s="403"/>
    </row>
    <row r="293" spans="1:11" ht="18.75">
      <c r="A293" s="465"/>
      <c r="B293" s="384"/>
      <c r="C293" s="657"/>
      <c r="D293" s="656"/>
      <c r="E293" s="656"/>
      <c r="F293" s="656"/>
      <c r="G293" s="656"/>
      <c r="H293" s="656"/>
      <c r="I293" s="656"/>
      <c r="J293" s="750"/>
      <c r="K293" s="465"/>
    </row>
    <row r="294" spans="1:11" ht="19.5">
      <c r="A294" s="465"/>
      <c r="B294" s="743" t="s">
        <v>226</v>
      </c>
      <c r="C294" s="744"/>
      <c r="D294" s="745" t="s">
        <v>227</v>
      </c>
      <c r="E294" s="746">
        <v>4</v>
      </c>
      <c r="F294" s="649" t="s">
        <v>228</v>
      </c>
      <c r="G294" s="650">
        <f>MAIN!C21</f>
        <v>0</v>
      </c>
      <c r="H294" s="645" t="s">
        <v>229</v>
      </c>
      <c r="I294" s="651">
        <f>MAIN!D21</f>
        <v>0</v>
      </c>
      <c r="J294" s="755"/>
      <c r="K294" s="465"/>
    </row>
    <row r="295" spans="1:11" ht="18">
      <c r="A295" s="465"/>
      <c r="B295" s="376"/>
      <c r="C295" s="377"/>
      <c r="D295" s="694" t="str">
        <f>IF(G294=0,"-  No Span 4  ","")&amp;D367</f>
        <v>-  No Span 4  -</v>
      </c>
      <c r="E295" s="379"/>
      <c r="F295" s="379"/>
      <c r="G295" s="379"/>
      <c r="H295" s="380" t="s">
        <v>230</v>
      </c>
      <c r="I295" s="381">
        <f>Analysis!G8</f>
        <v>140</v>
      </c>
      <c r="J295" s="750"/>
      <c r="K295" s="465"/>
    </row>
    <row r="296" spans="1:11" ht="15.75">
      <c r="A296" s="465"/>
      <c r="B296" s="382" t="s">
        <v>232</v>
      </c>
      <c r="C296" s="377"/>
      <c r="D296" s="383"/>
      <c r="E296" s="474" t="s">
        <v>101</v>
      </c>
      <c r="F296" s="475"/>
      <c r="G296" s="474" t="s">
        <v>227</v>
      </c>
      <c r="H296" s="475"/>
      <c r="I296" s="474" t="s">
        <v>103</v>
      </c>
      <c r="J296" s="750"/>
      <c r="K296" s="465"/>
    </row>
    <row r="297" spans="1:11" ht="15.75">
      <c r="A297" s="465"/>
      <c r="B297" s="384" t="s">
        <v>106</v>
      </c>
      <c r="C297" s="385"/>
      <c r="D297" s="386"/>
      <c r="E297" s="91">
        <f>I204</f>
        <v>1</v>
      </c>
      <c r="F297" s="387"/>
      <c r="G297" s="91" t="e">
        <f>ACTIONS!G31</f>
        <v>#VALUE!</v>
      </c>
      <c r="H297" s="387"/>
      <c r="I297" s="91" t="str">
        <f>ACTIONS!H25</f>
        <v>~</v>
      </c>
      <c r="J297" s="759"/>
      <c r="K297" s="466"/>
    </row>
    <row r="298" spans="1:11" ht="15.75">
      <c r="A298" s="465"/>
      <c r="B298" s="384" t="s">
        <v>234</v>
      </c>
      <c r="C298" s="385" t="s">
        <v>87</v>
      </c>
      <c r="D298" s="386"/>
      <c r="E298" s="92">
        <f>I205</f>
        <v>0</v>
      </c>
      <c r="F298" s="388"/>
      <c r="G298" s="92" t="str">
        <f>ACTIONS!G30</f>
        <v>~</v>
      </c>
      <c r="H298" s="388"/>
      <c r="I298" s="92" t="str">
        <f>ACTIONS!H24</f>
        <v>~</v>
      </c>
      <c r="J298" s="759"/>
      <c r="K298" s="467"/>
    </row>
    <row r="299" spans="1:11" ht="15.75">
      <c r="A299" s="465"/>
      <c r="B299" s="384" t="s">
        <v>235</v>
      </c>
      <c r="C299" s="385" t="s">
        <v>236</v>
      </c>
      <c r="D299" s="386"/>
      <c r="E299" s="93">
        <f>MAIN!$J$17/1000*E298</f>
        <v>0</v>
      </c>
      <c r="F299" s="386"/>
      <c r="G299" s="93" t="e">
        <f>MAIN!$J$17/1000*G298</f>
        <v>#VALUE!</v>
      </c>
      <c r="H299" s="386"/>
      <c r="I299" s="93" t="e">
        <f>MAIN!$J$17/1000*I298</f>
        <v>#VALUE!</v>
      </c>
      <c r="J299" s="759" t="s">
        <v>237</v>
      </c>
      <c r="K299" s="468"/>
    </row>
    <row r="300" spans="1:11" ht="15.75">
      <c r="A300" s="465"/>
      <c r="B300" s="384" t="s">
        <v>108</v>
      </c>
      <c r="C300" s="385" t="s">
        <v>13</v>
      </c>
      <c r="D300" s="386"/>
      <c r="E300" s="94">
        <f>I294-MAIN!$J$11-E378-E341/2</f>
        <v>-36</v>
      </c>
      <c r="F300" s="386"/>
      <c r="G300" s="94">
        <f>I294-MAIN!$J$12-G378-G341/2</f>
        <v>-36</v>
      </c>
      <c r="H300" s="386"/>
      <c r="I300" s="94">
        <f>I294-MAIN!$J$11-I378-I341/2</f>
        <v>-36</v>
      </c>
      <c r="J300" s="759"/>
      <c r="K300" s="469"/>
    </row>
    <row r="301" spans="1:11" ht="15.75">
      <c r="A301" s="465"/>
      <c r="B301" s="384" t="s">
        <v>238</v>
      </c>
      <c r="C301" s="385" t="s">
        <v>13</v>
      </c>
      <c r="D301" s="386"/>
      <c r="E301" s="80">
        <f>MAIN!J$17</f>
        <v>900</v>
      </c>
      <c r="F301" s="386"/>
      <c r="G301" s="80">
        <f>E301</f>
        <v>900</v>
      </c>
      <c r="H301" s="386"/>
      <c r="I301" s="80">
        <f>G301</f>
        <v>900</v>
      </c>
      <c r="J301" s="759"/>
      <c r="K301" s="470"/>
    </row>
    <row r="302" spans="1:11" ht="15.75">
      <c r="A302" s="465"/>
      <c r="B302" s="384" t="s">
        <v>239</v>
      </c>
      <c r="C302" s="385"/>
      <c r="D302" s="386"/>
      <c r="E302" s="95">
        <f>IF(E297&lt;0.9,0.402*(E297-0.4)-0.18*(E297-0.4)^2*1.5/MAIN!$F$13,0.775*0.45*0.67/MAIN!$F$13)</f>
        <v>0.15577500000000002</v>
      </c>
      <c r="F302" s="389"/>
      <c r="G302" s="95" t="e">
        <f>IF(G297&lt;0.9,0.402*(G297-0.4)-0.18*(G297-0.4)^2*1.5/MAIN!$F$13,0.775*0.45*0.67/MAIN!$F$13)</f>
        <v>#VALUE!</v>
      </c>
      <c r="H302" s="389"/>
      <c r="I302" s="95">
        <f>IF(I297&lt;0.9,0.402*(I297-0.4)-0.18*(I297-0.4)^2*1.5/MAIN!$F$13,0.775*0.45*0.67/MAIN!$F$13)</f>
        <v>0.15577500000000002</v>
      </c>
      <c r="J302" s="750" t="s">
        <v>240</v>
      </c>
      <c r="K302" s="471"/>
    </row>
    <row r="303" spans="1:11" ht="15.75">
      <c r="A303" s="465"/>
      <c r="B303" s="384" t="s">
        <v>321</v>
      </c>
      <c r="C303" s="385" t="s">
        <v>236</v>
      </c>
      <c r="D303" s="386"/>
      <c r="E303" s="93">
        <f>E302*MAIN!$J$16*E300^2*MAIN!$C$11/1000000</f>
        <v>1.0598931000000003</v>
      </c>
      <c r="F303" s="386"/>
      <c r="G303" s="93">
        <f>MIN(E302,I302)*MAIN!$J$16*F317^2*MAIN!$C$11/1000000</f>
        <v>1.0598931000000003</v>
      </c>
      <c r="H303" s="386"/>
      <c r="I303" s="93">
        <f>I302*MAIN!$J$16*I300^2*MAIN!$C$11/1000000</f>
        <v>1.0598931000000003</v>
      </c>
      <c r="J303" s="759" t="s">
        <v>241</v>
      </c>
      <c r="K303" s="468"/>
    </row>
    <row r="304" spans="1:11" ht="15.75">
      <c r="A304" s="465"/>
      <c r="B304" s="384" t="s">
        <v>322</v>
      </c>
      <c r="C304" s="385" t="s">
        <v>236</v>
      </c>
      <c r="D304" s="386"/>
      <c r="E304" s="93">
        <f>E303*E301/MAIN!$J$16</f>
        <v>6.359358600000001</v>
      </c>
      <c r="F304" s="386"/>
      <c r="G304" s="93" t="e">
        <f>MIN(G302*G301*G300^2*MAIN!C$11,0.67*MAIN!C$11/MAIN!F$13*E301*MAIN!J$15*(G300-MAIN!J$15/2))/1000000</f>
        <v>#VALUE!</v>
      </c>
      <c r="H304" s="386"/>
      <c r="I304" s="93">
        <f>I303*I301/MAIN!$J$16</f>
        <v>6.359358600000001</v>
      </c>
      <c r="J304" s="759" t="s">
        <v>237</v>
      </c>
      <c r="K304" s="468"/>
    </row>
    <row r="305" spans="1:11" ht="15.75">
      <c r="A305" s="465"/>
      <c r="B305" s="384" t="s">
        <v>39</v>
      </c>
      <c r="C305" s="385"/>
      <c r="D305" s="386"/>
      <c r="E305" s="95">
        <f>E299/E301/E300^2/MAIN!$C$11*1000000</f>
        <v>0</v>
      </c>
      <c r="F305" s="389"/>
      <c r="G305" s="95" t="e">
        <f>G299/G301/G300^2/MAIN!$C$11*1000000</f>
        <v>#VALUE!</v>
      </c>
      <c r="H305" s="389"/>
      <c r="I305" s="95" t="e">
        <f>I299/I301/I300^2/MAIN!$C$11*1000000</f>
        <v>#VALUE!</v>
      </c>
      <c r="J305" s="750" t="s">
        <v>240</v>
      </c>
      <c r="K305" s="471"/>
    </row>
    <row r="306" spans="1:11" ht="15.75">
      <c r="A306" s="465"/>
      <c r="B306" s="384" t="s">
        <v>242</v>
      </c>
      <c r="C306" s="385" t="s">
        <v>13</v>
      </c>
      <c r="D306" s="386"/>
      <c r="E306" s="93">
        <f>E300*MIN(0.5+SQRT(0.25-MIN(E305,E302)/0.9),0.95)</f>
        <v>-34.199999999999996</v>
      </c>
      <c r="F306" s="386"/>
      <c r="G306" s="93" t="e">
        <f>IF(G299&gt;G304,G300-MAIN!J$15/2,G300*MIN(0.5+SQRT(0.25-MIN(G305,G302)/0.9),0.95))</f>
        <v>#VALUE!</v>
      </c>
      <c r="H306" s="386"/>
      <c r="I306" s="93" t="e">
        <f>I300*MIN(0.5+SQRT(0.25-MIN(I305,I302)/0.9),0.95)</f>
        <v>#VALUE!</v>
      </c>
      <c r="J306" s="759" t="s">
        <v>237</v>
      </c>
      <c r="K306" s="468"/>
    </row>
    <row r="307" spans="1:11" ht="15.75">
      <c r="A307" s="465"/>
      <c r="B307" s="384" t="s">
        <v>243</v>
      </c>
      <c r="C307" s="385" t="s">
        <v>13</v>
      </c>
      <c r="D307" s="386"/>
      <c r="E307" s="93">
        <f>(E300-E306)/0.45</f>
        <v>-4.00000000000001</v>
      </c>
      <c r="F307" s="386"/>
      <c r="G307" s="93" t="e">
        <f>(G300-G306)/0.45</f>
        <v>#VALUE!</v>
      </c>
      <c r="H307" s="386"/>
      <c r="I307" s="93" t="e">
        <f>(I300-I306)/0.45</f>
        <v>#VALUE!</v>
      </c>
      <c r="J307" s="759" t="s">
        <v>237</v>
      </c>
      <c r="K307" s="468"/>
    </row>
    <row r="308" spans="1:11" ht="15.75">
      <c r="A308" s="465"/>
      <c r="B308" s="384" t="s">
        <v>244</v>
      </c>
      <c r="C308" s="385" t="s">
        <v>13</v>
      </c>
      <c r="D308" s="386"/>
      <c r="E308" s="94">
        <f>MAIN!$J$12+E378+E356/2</f>
        <v>34</v>
      </c>
      <c r="F308" s="390"/>
      <c r="G308" s="94">
        <f>MAIN!$J$11+G378+G356/2</f>
        <v>34</v>
      </c>
      <c r="H308" s="390"/>
      <c r="I308" s="94">
        <f>MAIN!$J$12+I378+I356/2</f>
        <v>34</v>
      </c>
      <c r="J308" s="759"/>
      <c r="K308" s="469"/>
    </row>
    <row r="309" spans="1:11" ht="15.75">
      <c r="A309" s="465"/>
      <c r="B309" s="384" t="s">
        <v>245</v>
      </c>
      <c r="C309" s="385" t="s">
        <v>11</v>
      </c>
      <c r="D309" s="386"/>
      <c r="E309" s="94">
        <f>MAX(0.001,MIN(700*(E307-E308)/E307,MAIN!$C$12/MAIN!$F$12)-IF(0.9*E307&gt;E308,0.67*MAIN!$C$11/MAIN!$F$13,0))</f>
        <v>438.0952380952381</v>
      </c>
      <c r="F309" s="390"/>
      <c r="G309" s="94" t="e">
        <f>MAX(0.001,MIN(700*(G307-G308)/G307,MAIN!$C$12/MAIN!$F$12)-IF(0.9*G307&gt;G308,0.67*MAIN!$C$11/MAIN!$F$13,0))</f>
        <v>#VALUE!</v>
      </c>
      <c r="H309" s="390"/>
      <c r="I309" s="94" t="e">
        <f>MAX(0.001,MIN(700*(I307-I308)/I307,MAIN!$C$12/MAIN!$F$12)-IF(0.9*I307&gt;I308,0.67*MAIN!$C$11/MAIN!$F$13,0))</f>
        <v>#VALUE!</v>
      </c>
      <c r="J309" s="750" t="s">
        <v>241</v>
      </c>
      <c r="K309" s="469"/>
    </row>
    <row r="310" spans="1:11" ht="15.75">
      <c r="A310" s="465"/>
      <c r="B310" s="384" t="s">
        <v>246</v>
      </c>
      <c r="C310" s="385" t="s">
        <v>236</v>
      </c>
      <c r="D310" s="386"/>
      <c r="E310" s="93">
        <f>MAX(0,E299-E304)</f>
        <v>0</v>
      </c>
      <c r="F310" s="386"/>
      <c r="G310" s="93" t="e">
        <f>MAX(0,G299-MAX(G303:G304))</f>
        <v>#VALUE!</v>
      </c>
      <c r="H310" s="386"/>
      <c r="I310" s="93" t="e">
        <f>MAX(0,I299-I304)</f>
        <v>#VALUE!</v>
      </c>
      <c r="J310" s="759"/>
      <c r="K310" s="468"/>
    </row>
    <row r="311" spans="1:11" ht="15.75">
      <c r="A311" s="465"/>
      <c r="B311" s="384" t="s">
        <v>247</v>
      </c>
      <c r="C311" s="385" t="s">
        <v>109</v>
      </c>
      <c r="D311" s="386"/>
      <c r="E311" s="96">
        <f>1000000*E310/E309/(E300-E308)</f>
        <v>0</v>
      </c>
      <c r="F311" s="391"/>
      <c r="G311" s="96" t="e">
        <f>1000000*G310/G309/(G300-G308)</f>
        <v>#VALUE!</v>
      </c>
      <c r="H311" s="391"/>
      <c r="I311" s="96" t="e">
        <f>1000000*I310/I309/(I300-I308)</f>
        <v>#VALUE!</v>
      </c>
      <c r="J311" s="759"/>
      <c r="K311" s="472"/>
    </row>
    <row r="312" spans="1:11" ht="15.75">
      <c r="A312" s="465"/>
      <c r="B312" s="384" t="s">
        <v>248</v>
      </c>
      <c r="C312" s="385" t="s">
        <v>11</v>
      </c>
      <c r="D312" s="386"/>
      <c r="E312" s="94">
        <f>MIN(700*(E300-E307)/E307,MAIN!$C$12/MAIN!$F$12)</f>
        <v>438.0952380952381</v>
      </c>
      <c r="F312" s="390"/>
      <c r="G312" s="94" t="e">
        <f>MIN(700*(G300-G307)/G307,MAIN!$C$12/MAIN!$F$12)</f>
        <v>#VALUE!</v>
      </c>
      <c r="H312" s="390"/>
      <c r="I312" s="94" t="e">
        <f>MIN(700*(I300-I307)/I307,MAIN!$C$12/MAIN!$F$12)</f>
        <v>#VALUE!</v>
      </c>
      <c r="J312" s="750" t="s">
        <v>241</v>
      </c>
      <c r="K312" s="469"/>
    </row>
    <row r="313" spans="1:11" ht="15.75">
      <c r="A313" s="465"/>
      <c r="B313" s="384" t="s">
        <v>249</v>
      </c>
      <c r="C313" s="385" t="s">
        <v>109</v>
      </c>
      <c r="D313" s="386"/>
      <c r="E313" s="96">
        <f>1000000/E312*(E299-E310)/E306+E311*E309/E312</f>
        <v>0</v>
      </c>
      <c r="F313" s="386"/>
      <c r="G313" s="96" t="e">
        <f>1000000/G312*(G299-G310)/G306+G311*G309/G312</f>
        <v>#VALUE!</v>
      </c>
      <c r="H313" s="386"/>
      <c r="I313" s="96" t="e">
        <f>1000000/I312*(I299-I310)/I306+I311*I309/I312</f>
        <v>#VALUE!</v>
      </c>
      <c r="J313" s="759"/>
      <c r="K313" s="472"/>
    </row>
    <row r="314" spans="1:11" ht="15.75">
      <c r="A314" s="465"/>
      <c r="B314" s="384" t="s">
        <v>250</v>
      </c>
      <c r="C314" s="385"/>
      <c r="D314" s="386"/>
      <c r="E314" s="93"/>
      <c r="F314" s="386"/>
      <c r="G314" s="93">
        <f>I295/G301</f>
        <v>0.15555555555555556</v>
      </c>
      <c r="H314" s="386"/>
      <c r="I314" s="93"/>
      <c r="J314" s="750"/>
      <c r="K314" s="468"/>
    </row>
    <row r="315" spans="1:11" ht="15.75">
      <c r="A315" s="465"/>
      <c r="B315" s="384" t="s">
        <v>251</v>
      </c>
      <c r="C315" s="385" t="s">
        <v>252</v>
      </c>
      <c r="D315" s="386"/>
      <c r="E315" s="97">
        <f>MAX(0.0013,MIN(0.0024,0.0024-0.0011*(MAIN!$C$12-250)/210))</f>
        <v>0.0013</v>
      </c>
      <c r="F315" s="392"/>
      <c r="G315" s="97">
        <f>IF(MAIN!C$12&gt;=460,IF(G314&lt;0.4,0.0018,0.0013),IF(MAIN!C$12&gt;=425,IF(G314&lt;0.4,0.0021,0.0015),IF(G314&lt;0.4,0.0032,0.0024)))</f>
        <v>0.0018</v>
      </c>
      <c r="H315" s="392"/>
      <c r="I315" s="97">
        <f>MAX(0.0013,MIN(0.0024,0.0024-0.0011*(MAIN!$C$12-250)/210))</f>
        <v>0.0013</v>
      </c>
      <c r="J315" s="750" t="s">
        <v>323</v>
      </c>
      <c r="K315" s="473"/>
    </row>
    <row r="316" spans="1:11" ht="15.75">
      <c r="A316" s="465"/>
      <c r="B316" s="384" t="s">
        <v>253</v>
      </c>
      <c r="C316" s="385" t="s">
        <v>109</v>
      </c>
      <c r="D316" s="386"/>
      <c r="E316" s="96">
        <f>E315*E301*I294</f>
        <v>0</v>
      </c>
      <c r="F316" s="386"/>
      <c r="G316" s="96">
        <f>G315*I294*I295</f>
        <v>0</v>
      </c>
      <c r="H316" s="386"/>
      <c r="I316" s="96">
        <f>I315*I301*I294</f>
        <v>0</v>
      </c>
      <c r="J316" s="759"/>
      <c r="K316" s="472"/>
    </row>
    <row r="317" spans="1:11" ht="15.75">
      <c r="A317" s="465"/>
      <c r="B317" s="393" t="s">
        <v>254</v>
      </c>
      <c r="C317" s="394"/>
      <c r="D317" s="386"/>
      <c r="E317" s="634" t="s">
        <v>255</v>
      </c>
      <c r="F317" s="395">
        <f>E300+E341/2-G341/2</f>
        <v>-36</v>
      </c>
      <c r="G317" s="634" t="s">
        <v>256</v>
      </c>
      <c r="H317" s="395">
        <f>E308-E356/2+G341/2</f>
        <v>36</v>
      </c>
      <c r="I317" s="634"/>
      <c r="J317" s="750"/>
      <c r="K317" s="468"/>
    </row>
    <row r="318" spans="1:11" ht="15.75">
      <c r="A318" s="465"/>
      <c r="B318" s="384" t="s">
        <v>234</v>
      </c>
      <c r="C318" s="385" t="s">
        <v>87</v>
      </c>
      <c r="D318" s="386"/>
      <c r="E318" s="92">
        <f>MAX(0,Graf!X77)</f>
        <v>0</v>
      </c>
      <c r="F318" s="388"/>
      <c r="G318" s="92">
        <f>MAX(0,Graf!H77,Graf!R77)</f>
        <v>0</v>
      </c>
      <c r="H318" s="388"/>
      <c r="I318" s="92">
        <f>MAX(0,Graf!Y77)</f>
        <v>0</v>
      </c>
      <c r="J318" s="759"/>
      <c r="K318" s="468"/>
    </row>
    <row r="319" spans="1:11" ht="15.75">
      <c r="A319" s="465"/>
      <c r="B319" s="384" t="s">
        <v>235</v>
      </c>
      <c r="C319" s="385" t="s">
        <v>236</v>
      </c>
      <c r="D319" s="386"/>
      <c r="E319" s="93">
        <f>MAIN!$J$17/1000*E318</f>
        <v>0</v>
      </c>
      <c r="F319" s="386"/>
      <c r="G319" s="93">
        <f>MAIN!$J$17/1000*G318</f>
        <v>0</v>
      </c>
      <c r="H319" s="386"/>
      <c r="I319" s="93">
        <f>MAIN!$J$17/1000*I318</f>
        <v>0</v>
      </c>
      <c r="J319" s="759"/>
      <c r="K319" s="468"/>
    </row>
    <row r="320" spans="1:11" ht="15.75">
      <c r="A320" s="465"/>
      <c r="B320" s="384" t="s">
        <v>238</v>
      </c>
      <c r="C320" s="385" t="s">
        <v>13</v>
      </c>
      <c r="D320" s="386"/>
      <c r="E320" s="80">
        <f>MAIN!J$16</f>
        <v>150</v>
      </c>
      <c r="F320" s="52"/>
      <c r="G320" s="80">
        <f>E320</f>
        <v>150</v>
      </c>
      <c r="H320" s="52"/>
      <c r="I320" s="80">
        <f>G320</f>
        <v>150</v>
      </c>
      <c r="J320" s="750"/>
      <c r="K320" s="468"/>
    </row>
    <row r="321" spans="1:11" ht="15.75">
      <c r="A321" s="465"/>
      <c r="B321" s="384" t="s">
        <v>39</v>
      </c>
      <c r="C321" s="385"/>
      <c r="D321" s="386"/>
      <c r="E321" s="95">
        <f>1000000*E319/E320/MAIN!$C$11/E300^2</f>
        <v>0</v>
      </c>
      <c r="F321" s="389"/>
      <c r="G321" s="95">
        <f>1000000*G319/G320/MAIN!$C$11/F317^2</f>
        <v>0</v>
      </c>
      <c r="H321" s="389"/>
      <c r="I321" s="95">
        <f>1000000*I319/I320/MAIN!$C$11/I300^2</f>
        <v>0</v>
      </c>
      <c r="J321" s="750" t="s">
        <v>240</v>
      </c>
      <c r="K321" s="468"/>
    </row>
    <row r="322" spans="1:11" ht="15.75">
      <c r="A322" s="465"/>
      <c r="B322" s="384" t="s">
        <v>242</v>
      </c>
      <c r="C322" s="385" t="s">
        <v>13</v>
      </c>
      <c r="D322" s="386"/>
      <c r="E322" s="93">
        <f>E300*MIN(0.5+SQRT(0.25-MIN(E321,E302)/0.9),0.95)</f>
        <v>-34.199999999999996</v>
      </c>
      <c r="F322" s="386"/>
      <c r="G322" s="93" t="e">
        <f>F317*MIN(0.5+SQRT(0.25-MIN(G321,G302)/0.9),0.95)</f>
        <v>#VALUE!</v>
      </c>
      <c r="H322" s="386"/>
      <c r="I322" s="93">
        <f>I300*MIN(0.5+SQRT(0.25-MIN(I321,I302)/0.9),0.95)</f>
        <v>-34.199999999999996</v>
      </c>
      <c r="J322" s="759" t="s">
        <v>237</v>
      </c>
      <c r="K322" s="468"/>
    </row>
    <row r="323" spans="1:11" ht="15.75">
      <c r="A323" s="465"/>
      <c r="B323" s="384" t="s">
        <v>243</v>
      </c>
      <c r="C323" s="385" t="s">
        <v>13</v>
      </c>
      <c r="D323" s="386"/>
      <c r="E323" s="93">
        <f>(E300-E322)/0.45</f>
        <v>-4.00000000000001</v>
      </c>
      <c r="F323" s="386"/>
      <c r="G323" s="93" t="e">
        <f>(F317-G322)/0.45</f>
        <v>#VALUE!</v>
      </c>
      <c r="H323" s="386"/>
      <c r="I323" s="93">
        <f>(I300-I322)/0.45</f>
        <v>-4.00000000000001</v>
      </c>
      <c r="J323" s="759" t="s">
        <v>237</v>
      </c>
      <c r="K323" s="468"/>
    </row>
    <row r="324" spans="1:11" ht="15.75">
      <c r="A324" s="465"/>
      <c r="B324" s="384" t="s">
        <v>245</v>
      </c>
      <c r="C324" s="385" t="s">
        <v>11</v>
      </c>
      <c r="D324" s="386"/>
      <c r="E324" s="94">
        <f>MAX(0.001,MIN(700*(E323-E308)/E323,MAIN!$C$12/MAIN!$F$12)-IF(0.9*E323&gt;E308,0.67*MAIN!$C$11/MAIN!$F$13,0))</f>
        <v>438.0952380952381</v>
      </c>
      <c r="F324" s="386"/>
      <c r="G324" s="94" t="e">
        <f>MAX(0.001,MIN(700*(G323-H317)/G323,MAIN!$C$12/MAIN!$F$12)-IF(0.9*G323&gt;H317,0.67*MAIN!$C$11/MAIN!$F$13,0))</f>
        <v>#VALUE!</v>
      </c>
      <c r="H324" s="386"/>
      <c r="I324" s="94">
        <f>MAX(0.001,MIN(700*(I323-I308)/I323,MAIN!$C$12/MAIN!$F$12)-IF(0.9*I323&gt;I308,0.67*MAIN!$C$11/MAIN!$F$13,0))</f>
        <v>438.0952380952381</v>
      </c>
      <c r="J324" s="750" t="s">
        <v>241</v>
      </c>
      <c r="K324" s="468"/>
    </row>
    <row r="325" spans="1:11" ht="15.75">
      <c r="A325" s="465"/>
      <c r="B325" s="384" t="s">
        <v>246</v>
      </c>
      <c r="C325" s="385" t="s">
        <v>236</v>
      </c>
      <c r="D325" s="386"/>
      <c r="E325" s="93">
        <f>MAX(0,E319-E303)</f>
        <v>0</v>
      </c>
      <c r="F325" s="386"/>
      <c r="G325" s="93">
        <f>MAX(0,G319-G303)</f>
        <v>0</v>
      </c>
      <c r="H325" s="386"/>
      <c r="I325" s="93">
        <f>MAX(0,I319-I303)</f>
        <v>0</v>
      </c>
      <c r="J325" s="750"/>
      <c r="K325" s="468"/>
    </row>
    <row r="326" spans="1:11" ht="15.75">
      <c r="A326" s="465"/>
      <c r="B326" s="384" t="s">
        <v>247</v>
      </c>
      <c r="C326" s="385" t="s">
        <v>109</v>
      </c>
      <c r="D326" s="386"/>
      <c r="E326" s="96">
        <f>1000000*MIN(E325/E324/(E300-E308),E319/MAIN!$C$12*MAIN!$F$12/(E300-E308))</f>
        <v>0</v>
      </c>
      <c r="F326" s="386"/>
      <c r="G326" s="96" t="e">
        <f>1000000*MIN(G325/G324/(F317-H317),G319/MAIN!$C$12*MAIN!$F$12/(F317-H317))</f>
        <v>#VALUE!</v>
      </c>
      <c r="H326" s="386"/>
      <c r="I326" s="96">
        <f>1000000*MIN(I325/I324/(I300-I308),I319/MAIN!$C$12*MAIN!$F$12/(I300-I308))</f>
        <v>0</v>
      </c>
      <c r="J326" s="750"/>
      <c r="K326" s="468"/>
    </row>
    <row r="327" spans="1:11" ht="15.75">
      <c r="A327" s="465"/>
      <c r="B327" s="384" t="s">
        <v>248</v>
      </c>
      <c r="C327" s="385" t="s">
        <v>11</v>
      </c>
      <c r="D327" s="386"/>
      <c r="E327" s="94">
        <f>MIN(700*(E300-E323)/E323,MAIN!$C$12/MAIN!$F$12)</f>
        <v>438.0952380952381</v>
      </c>
      <c r="F327" s="386"/>
      <c r="G327" s="94" t="e">
        <f>MIN(700*(F317-G323)/G323,MAIN!$C$12/MAIN!$F$12)</f>
        <v>#VALUE!</v>
      </c>
      <c r="H327" s="386"/>
      <c r="I327" s="94">
        <f>MIN(700*(I300-I323)/I323,MAIN!$C$12/MAIN!$F$12)</f>
        <v>438.0952380952381</v>
      </c>
      <c r="J327" s="750" t="s">
        <v>241</v>
      </c>
      <c r="K327" s="468"/>
    </row>
    <row r="328" spans="1:11" ht="15.75">
      <c r="A328" s="465"/>
      <c r="B328" s="384" t="s">
        <v>249</v>
      </c>
      <c r="C328" s="385" t="s">
        <v>109</v>
      </c>
      <c r="D328" s="386"/>
      <c r="E328" s="96">
        <f>1000000*MIN((E319-E325)/E322/E327+E326*E324/E327,E319/MAIN!$C$12*MAIN!$F$12/(E300-E308))</f>
        <v>0</v>
      </c>
      <c r="F328" s="386"/>
      <c r="G328" s="96" t="e">
        <f>1000000*MIN((G319-G325)/G322/G327+G326*G324/G327,G319/MAIN!$C$12*MAIN!$F$12/(F317-H317))</f>
        <v>#VALUE!</v>
      </c>
      <c r="H328" s="386"/>
      <c r="I328" s="96">
        <f>1000000*MIN((I319-I325)/I322/I327+I326*I324/I327,I319/MAIN!$C$12*MAIN!$F$12/(I300-I308))</f>
        <v>0</v>
      </c>
      <c r="J328" s="750"/>
      <c r="K328" s="468"/>
    </row>
    <row r="329" spans="1:11" ht="15.75">
      <c r="A329" s="465"/>
      <c r="B329" s="384"/>
      <c r="C329" s="385"/>
      <c r="D329" s="396"/>
      <c r="E329" s="671"/>
      <c r="F329" s="396"/>
      <c r="G329" s="671"/>
      <c r="H329" s="396"/>
      <c r="I329" s="671"/>
      <c r="J329" s="750"/>
      <c r="K329" s="468"/>
    </row>
    <row r="330" spans="1:11" ht="16.5" thickBot="1">
      <c r="A330" s="465"/>
      <c r="B330" s="400"/>
      <c r="C330" s="401"/>
      <c r="D330" s="402"/>
      <c r="E330" s="401"/>
      <c r="F330" s="402"/>
      <c r="G330" s="401"/>
      <c r="H330" s="402"/>
      <c r="I330" s="401"/>
      <c r="J330" s="749"/>
      <c r="K330" s="468"/>
    </row>
    <row r="331" spans="1:11" ht="12" customHeight="1" thickBot="1" thickTop="1">
      <c r="A331" s="465"/>
      <c r="B331" s="122"/>
      <c r="C331" s="122"/>
      <c r="D331" s="379"/>
      <c r="E331" s="377"/>
      <c r="F331" s="122"/>
      <c r="G331" s="377"/>
      <c r="H331" s="122"/>
      <c r="I331" s="377"/>
      <c r="J331" s="758"/>
      <c r="K331" s="468"/>
    </row>
    <row r="332" spans="1:11" ht="18">
      <c r="A332" s="465"/>
      <c r="B332" s="539" t="str">
        <f>B$2</f>
        <v> Project</v>
      </c>
      <c r="C332" s="540" t="str">
        <f>C$2</f>
        <v>Spreadsheets to BS 8110</v>
      </c>
      <c r="D332" s="542"/>
      <c r="E332" s="542"/>
      <c r="F332" s="542"/>
      <c r="G332" s="541"/>
      <c r="H332" s="542"/>
      <c r="I332" s="542"/>
      <c r="J332" s="753"/>
      <c r="K332" s="468"/>
    </row>
    <row r="333" spans="1:11" ht="18">
      <c r="A333" s="465"/>
      <c r="B333" s="543" t="str">
        <f>B$3</f>
        <v> Location</v>
      </c>
      <c r="C333" s="544" t="str">
        <f>C$3</f>
        <v>3rd Floor slab,  from 1 to 5a</v>
      </c>
      <c r="D333" s="545"/>
      <c r="E333" s="545"/>
      <c r="F333" s="545"/>
      <c r="G333" s="558" t="s">
        <v>415</v>
      </c>
      <c r="H333" s="545"/>
      <c r="I333" s="545"/>
      <c r="J333" s="754"/>
      <c r="K333" s="468"/>
    </row>
    <row r="334" spans="1:11" ht="15.75">
      <c r="A334" s="465"/>
      <c r="B334" s="546"/>
      <c r="C334" s="547" t="str">
        <f>C$4</f>
        <v>RIBBED SLABS to BS 8110:1997 (Analysis &amp; Design)</v>
      </c>
      <c r="D334" s="545"/>
      <c r="E334" s="545"/>
      <c r="F334" s="545"/>
      <c r="G334" s="122"/>
      <c r="H334" s="122"/>
      <c r="I334" s="122"/>
      <c r="J334" s="766" t="str">
        <f>J$4</f>
        <v>Made by  rmw    Job No  R68</v>
      </c>
      <c r="K334" s="468"/>
    </row>
    <row r="335" spans="1:11" ht="16.5" thickBot="1">
      <c r="A335" s="465"/>
      <c r="B335" s="549"/>
      <c r="C335" s="550" t="str">
        <f>C$5</f>
        <v>Originated from  RCC32.xls v2.2 on CD               © 2000-2003 BCA for RCC</v>
      </c>
      <c r="D335" s="552"/>
      <c r="E335" s="552"/>
      <c r="F335" s="552"/>
      <c r="G335" s="551"/>
      <c r="H335" s="551"/>
      <c r="I335" s="553" t="str">
        <f>I$5</f>
        <v> Date</v>
      </c>
      <c r="J335" s="767">
        <f>J$5</f>
        <v>39305</v>
      </c>
      <c r="K335" s="468"/>
    </row>
    <row r="336" spans="1:11" ht="15.75">
      <c r="A336" s="465"/>
      <c r="B336" s="384" t="s">
        <v>414</v>
      </c>
      <c r="C336" s="385"/>
      <c r="D336" s="396"/>
      <c r="E336" s="385"/>
      <c r="F336" s="385"/>
      <c r="G336" s="385"/>
      <c r="H336" s="385"/>
      <c r="I336" s="640"/>
      <c r="J336" s="748"/>
      <c r="K336" s="468"/>
    </row>
    <row r="337" spans="1:11" ht="15.75">
      <c r="A337" s="465"/>
      <c r="B337" s="384"/>
      <c r="C337" s="385"/>
      <c r="D337" s="396"/>
      <c r="E337" s="673"/>
      <c r="F337" s="385"/>
      <c r="G337" s="673"/>
      <c r="H337" s="385"/>
      <c r="I337" s="674"/>
      <c r="J337" s="750"/>
      <c r="K337" s="468"/>
    </row>
    <row r="338" spans="1:11" ht="15.75">
      <c r="A338" s="465"/>
      <c r="B338" s="382" t="s">
        <v>257</v>
      </c>
      <c r="C338" s="394"/>
      <c r="D338" s="386"/>
      <c r="E338" s="93"/>
      <c r="F338" s="386"/>
      <c r="G338" s="93"/>
      <c r="H338" s="386"/>
      <c r="I338" s="761"/>
      <c r="J338" s="750"/>
      <c r="K338" s="468"/>
    </row>
    <row r="339" spans="1:11" ht="15.75">
      <c r="A339" s="465"/>
      <c r="B339" s="384" t="s">
        <v>258</v>
      </c>
      <c r="C339" s="385" t="s">
        <v>109</v>
      </c>
      <c r="D339" s="386"/>
      <c r="E339" s="96">
        <f>E313*(1+E369)</f>
        <v>0</v>
      </c>
      <c r="F339" s="391"/>
      <c r="G339" s="96" t="e">
        <f>G313*(1+G369)</f>
        <v>#VALUE!</v>
      </c>
      <c r="H339" s="391"/>
      <c r="I339" s="96" t="e">
        <f>I313*(1+I369)</f>
        <v>#VALUE!</v>
      </c>
      <c r="J339" s="750"/>
      <c r="K339" s="468"/>
    </row>
    <row r="340" spans="1:11" ht="15.75">
      <c r="A340" s="465"/>
      <c r="B340" s="384" t="s">
        <v>259</v>
      </c>
      <c r="C340" s="385" t="s">
        <v>109</v>
      </c>
      <c r="D340" s="386"/>
      <c r="E340" s="96">
        <f>MAX(E349*$I294*$I295,E328*(1+E369))</f>
        <v>0</v>
      </c>
      <c r="F340" s="391"/>
      <c r="G340" s="96" t="e">
        <f>MAX(G339,G316,G328)</f>
        <v>#VALUE!</v>
      </c>
      <c r="H340" s="391"/>
      <c r="I340" s="96">
        <f>MAX(I349*$I294*$I295,I328*(1+I369))</f>
        <v>0</v>
      </c>
      <c r="J340" s="750"/>
      <c r="K340" s="468"/>
    </row>
    <row r="341" spans="1:11" ht="15.75">
      <c r="A341" s="465"/>
      <c r="B341" s="384" t="s">
        <v>374</v>
      </c>
      <c r="C341" s="385" t="s">
        <v>13</v>
      </c>
      <c r="D341" s="737" t="str">
        <f>IF(MAIN!$J$11+E378&lt;E341,"! ! !","ok")</f>
        <v>ok</v>
      </c>
      <c r="E341" s="80">
        <f>SPANS!F83</f>
        <v>20</v>
      </c>
      <c r="F341" s="737" t="str">
        <f>IF(MIN(MAIN!$J$12,MAIN!$J$13)+G378&lt;G341,"! ! !","ok")</f>
        <v>ok</v>
      </c>
      <c r="G341" s="80">
        <f>SPANS!I86</f>
        <v>20</v>
      </c>
      <c r="H341" s="737" t="str">
        <f>IF(MAIN!$J$11+I378&lt;I341,"! ! !","ok")</f>
        <v>ok</v>
      </c>
      <c r="I341" s="80">
        <f>SPANS!L83</f>
        <v>20</v>
      </c>
      <c r="J341" s="750"/>
      <c r="K341" s="403" t="str">
        <f>IF(AND(AND(D341="ok",F341="ok"),H341="ok"),"","Inadequate Cover")</f>
        <v></v>
      </c>
    </row>
    <row r="342" spans="1:11" ht="15.75">
      <c r="A342" s="465"/>
      <c r="B342" s="384" t="s">
        <v>136</v>
      </c>
      <c r="C342" s="385"/>
      <c r="D342" s="738"/>
      <c r="E342" s="80">
        <f>MAX(2,CEILING(E340/PI()*4/E341^2,1))</f>
        <v>2</v>
      </c>
      <c r="F342" s="738"/>
      <c r="G342" s="80" t="e">
        <f>MAX(1,CEILING(G340/PI()*4/G341^2,1))</f>
        <v>#VALUE!</v>
      </c>
      <c r="H342" s="738"/>
      <c r="I342" s="80">
        <f>MAX(2,CEILING(I340/PI()*4/I341^2,1))</f>
        <v>2</v>
      </c>
      <c r="J342" s="750"/>
      <c r="K342" s="468"/>
    </row>
    <row r="343" spans="1:11" ht="15.75">
      <c r="A343" s="465"/>
      <c r="B343" s="384" t="s">
        <v>112</v>
      </c>
      <c r="C343" s="385" t="s">
        <v>109</v>
      </c>
      <c r="D343" s="738"/>
      <c r="E343" s="96">
        <f>PI()/4*E341^2*E342</f>
        <v>628.3185307179587</v>
      </c>
      <c r="F343" s="739"/>
      <c r="G343" s="96" t="e">
        <f>PI()/4*G341^2*G342</f>
        <v>#VALUE!</v>
      </c>
      <c r="H343" s="739"/>
      <c r="I343" s="96">
        <f>PI()/4*I341^2*I342</f>
        <v>628.3185307179587</v>
      </c>
      <c r="J343" s="750" t="e">
        <f>IF(Analysis!I261&gt;4,"! ! !"," ")</f>
        <v>#DIV/0!</v>
      </c>
      <c r="K343" s="468"/>
    </row>
    <row r="344" spans="1:11" ht="15.75">
      <c r="A344" s="465"/>
      <c r="B344" s="384" t="s">
        <v>261</v>
      </c>
      <c r="C344" s="385" t="s">
        <v>252</v>
      </c>
      <c r="D344" s="737" t="str">
        <f>IF(E344&gt;4,"! ! !","ok")</f>
        <v>ok</v>
      </c>
      <c r="E344" s="98">
        <f>100*E343/E300/I295</f>
        <v>-12.46663751424521</v>
      </c>
      <c r="F344" s="737" t="e">
        <f>IF(G344&gt;4,"! ! !","ok")</f>
        <v>#VALUE!</v>
      </c>
      <c r="G344" s="98" t="e">
        <f>100*G343/G300/I295</f>
        <v>#VALUE!</v>
      </c>
      <c r="H344" s="737" t="str">
        <f>IF(I344&gt;4,"! ! !","ok")</f>
        <v>ok</v>
      </c>
      <c r="I344" s="98">
        <f>100*I343/I300/I295</f>
        <v>-12.46663751424521</v>
      </c>
      <c r="J344" s="755"/>
      <c r="K344" s="403" t="e">
        <f>IF(AND(AND(D344="ok",F344="ok"),H344="ok"),"","As &gt; 4%")</f>
        <v>#VALUE!</v>
      </c>
    </row>
    <row r="345" spans="1:11" ht="15.75">
      <c r="A345" s="465"/>
      <c r="B345" s="384" t="s">
        <v>262</v>
      </c>
      <c r="C345" s="385" t="s">
        <v>13</v>
      </c>
      <c r="D345" s="738"/>
      <c r="E345" s="94">
        <f>(MAIN!$J$16+2/MAIN!$J$18*E300-2*(MAIN!$J$13+E378)-E342*E341)/(E342-1)</f>
        <v>50.80000000000001</v>
      </c>
      <c r="F345" s="740"/>
      <c r="G345" s="94" t="e">
        <f>IF(G342=1,G346,(MAIN!$J$16+2/MAIN!$J$18*(I294-G300)-2*(MAIN!$J$13+G378)-G342*G341)/(G342-1))</f>
        <v>#VALUE!</v>
      </c>
      <c r="H345" s="740"/>
      <c r="I345" s="94">
        <f>(MAIN!$J$16+2/MAIN!$J$18*I300-2*(MAIN!$J$13+I378)-I342*I341)/(I342-1)</f>
        <v>50.80000000000001</v>
      </c>
      <c r="J345" s="750" t="s">
        <v>263</v>
      </c>
      <c r="K345" s="468"/>
    </row>
    <row r="346" spans="1:11" ht="15.75">
      <c r="A346" s="465"/>
      <c r="B346" s="384" t="s">
        <v>264</v>
      </c>
      <c r="C346" s="385" t="s">
        <v>13</v>
      </c>
      <c r="D346" s="737" t="str">
        <f>IF(E345&lt;E346,"! ! !","ok")</f>
        <v>ok</v>
      </c>
      <c r="E346" s="94">
        <f>MAX(E341,MAIN!$F$11+5)</f>
        <v>25</v>
      </c>
      <c r="F346" s="737" t="e">
        <f>IF(G345&lt;G346,"! ! !","ok")</f>
        <v>#VALUE!</v>
      </c>
      <c r="G346" s="94">
        <f>MAX(G341,MAIN!$F$11+5)</f>
        <v>25</v>
      </c>
      <c r="H346" s="737" t="str">
        <f>IF(I345&lt;I346,"! ! !","ok")</f>
        <v>ok</v>
      </c>
      <c r="I346" s="94">
        <f>MAX(I341,MAIN!$F$11+5)</f>
        <v>25</v>
      </c>
      <c r="J346" s="750" t="s">
        <v>265</v>
      </c>
      <c r="K346" s="403" t="e">
        <f>IF(AND(AND(D346="ok",F346="ok"),H346="ok"),"","Min spacing fails")</f>
        <v>#VALUE!</v>
      </c>
    </row>
    <row r="347" spans="1:11" ht="15.75">
      <c r="A347" s="465"/>
      <c r="B347" s="384" t="s">
        <v>266</v>
      </c>
      <c r="C347" s="385" t="s">
        <v>13</v>
      </c>
      <c r="D347" s="737" t="str">
        <f>IF(E345&gt;E347,"! ! !","ok")</f>
        <v>ok</v>
      </c>
      <c r="E347" s="94">
        <f>E245</f>
        <v>152.17391304347825</v>
      </c>
      <c r="F347" s="737" t="e">
        <f>IF(G345&gt;G347,"! ! !","ok")</f>
        <v>#VALUE!</v>
      </c>
      <c r="G347" s="94" t="e">
        <f>MIN(47000/G363,300)</f>
        <v>#VALUE!</v>
      </c>
      <c r="H347" s="737" t="str">
        <f>IF(I345&gt;I347,"! ! !","ok")</f>
        <v>ok</v>
      </c>
      <c r="I347" s="94">
        <f>I245</f>
        <v>152.17391304347825</v>
      </c>
      <c r="J347" s="750" t="s">
        <v>267</v>
      </c>
      <c r="K347" s="403" t="e">
        <f>IF(AND(AND(D347="ok",F347="ok"),H347="ok"),"","Max spacing fails")</f>
        <v>#VALUE!</v>
      </c>
    </row>
    <row r="348" spans="1:11" ht="15.75">
      <c r="A348" s="465"/>
      <c r="B348" s="477" t="s">
        <v>369</v>
      </c>
      <c r="C348" s="385"/>
      <c r="D348" s="396"/>
      <c r="E348" s="94"/>
      <c r="F348" s="396"/>
      <c r="G348" s="94"/>
      <c r="H348" s="396"/>
      <c r="I348" s="94"/>
      <c r="J348" s="750"/>
      <c r="K348" s="468"/>
    </row>
    <row r="349" spans="1:11" ht="15.75">
      <c r="A349" s="465"/>
      <c r="B349" s="384" t="s">
        <v>370</v>
      </c>
      <c r="C349" s="385" t="s">
        <v>252</v>
      </c>
      <c r="D349" s="396"/>
      <c r="E349" s="97">
        <f>E247</f>
        <v>0.0026</v>
      </c>
      <c r="F349" s="396"/>
      <c r="G349" s="97"/>
      <c r="H349" s="396"/>
      <c r="I349" s="97">
        <f>E349</f>
        <v>0.0026</v>
      </c>
      <c r="J349" s="750"/>
      <c r="K349" s="468"/>
    </row>
    <row r="350" spans="1:11" ht="15.75">
      <c r="A350" s="465"/>
      <c r="B350" s="384" t="s">
        <v>371</v>
      </c>
      <c r="C350" s="385" t="s">
        <v>109</v>
      </c>
      <c r="D350" s="396"/>
      <c r="E350" s="96">
        <f>MAX(0,MAX(E313,E339,E316)-E343)</f>
        <v>0</v>
      </c>
      <c r="F350" s="479"/>
      <c r="G350" s="96"/>
      <c r="H350" s="479"/>
      <c r="I350" s="96" t="e">
        <f>MAX(0,MAX(I313,I339,I316)-I343)</f>
        <v>#VALUE!</v>
      </c>
      <c r="J350" s="750"/>
      <c r="K350" s="468"/>
    </row>
    <row r="351" spans="1:11" ht="15.75">
      <c r="A351" s="465"/>
      <c r="B351" s="384" t="s">
        <v>372</v>
      </c>
      <c r="C351" s="385" t="s">
        <v>13</v>
      </c>
      <c r="D351" s="396"/>
      <c r="E351" s="96">
        <f>HLOOKUP(SQRT(4*E350/M352/PI()),L$50:R$51,2)</f>
        <v>8</v>
      </c>
      <c r="F351" s="479"/>
      <c r="G351" s="96"/>
      <c r="H351" s="479"/>
      <c r="I351" s="96" t="e">
        <f>HLOOKUP(SQRT(4*I350/N352/PI()),L$50:R$51,2)</f>
        <v>#VALUE!</v>
      </c>
      <c r="J351" s="750"/>
      <c r="K351" s="468"/>
    </row>
    <row r="352" spans="1:14" ht="15.75">
      <c r="A352" s="465"/>
      <c r="B352" s="384" t="s">
        <v>136</v>
      </c>
      <c r="C352" s="385"/>
      <c r="D352" s="396"/>
      <c r="E352" s="96">
        <f>MAX(M352,CEILING(E350/PI()*4/E351^2,1))</f>
        <v>4</v>
      </c>
      <c r="F352" s="479"/>
      <c r="G352" s="96"/>
      <c r="H352" s="479"/>
      <c r="I352" s="96" t="e">
        <f>MAX(N352,CEILING(I350/PI()*4/I351^2,1))</f>
        <v>#VALUE!</v>
      </c>
      <c r="J352" s="750"/>
      <c r="K352" s="468"/>
      <c r="L352" s="478" t="s">
        <v>373</v>
      </c>
      <c r="M352" s="478">
        <f>MAX(CEILING((MAIN!$J$17-(E345+E341)*(E342-1))/(E347+E341),1)-1,1)</f>
        <v>4</v>
      </c>
      <c r="N352" s="478">
        <f>MAX(CEILING((MAIN!$J$17-(I345+I341)*(I342-1))/(I347+I341),1)-1,1)</f>
        <v>4</v>
      </c>
    </row>
    <row r="353" spans="1:11" ht="15.75">
      <c r="A353" s="465"/>
      <c r="B353" s="384" t="s">
        <v>112</v>
      </c>
      <c r="C353" s="385" t="s">
        <v>109</v>
      </c>
      <c r="D353" s="396"/>
      <c r="E353" s="96">
        <f>IF(G294=0,0,PI()/4*E351^2*E352)</f>
        <v>0</v>
      </c>
      <c r="F353" s="396"/>
      <c r="G353" s="94"/>
      <c r="H353" s="396"/>
      <c r="I353" s="96" t="e">
        <f>PI()/4*I351^2*I352</f>
        <v>#VALUE!</v>
      </c>
      <c r="J353" s="750"/>
      <c r="K353" s="468"/>
    </row>
    <row r="354" spans="1:11" ht="15.75">
      <c r="A354" s="465"/>
      <c r="B354" s="382" t="s">
        <v>268</v>
      </c>
      <c r="C354" s="394"/>
      <c r="D354" s="386"/>
      <c r="E354" s="93"/>
      <c r="F354" s="386"/>
      <c r="G354" s="93"/>
      <c r="H354" s="386"/>
      <c r="I354" s="93"/>
      <c r="J354" s="750"/>
      <c r="K354" s="468"/>
    </row>
    <row r="355" spans="1:11" ht="15.75">
      <c r="A355" s="465"/>
      <c r="B355" s="384" t="s">
        <v>269</v>
      </c>
      <c r="C355" s="385" t="s">
        <v>109</v>
      </c>
      <c r="D355" s="386"/>
      <c r="E355" s="96" t="e">
        <f>MAX(IF(E299=0,0.5,0.3)*$G343,IF(E325=0,0,MAX(E311,E326,0.002*I295*I294)))</f>
        <v>#VALUE!</v>
      </c>
      <c r="F355" s="738"/>
      <c r="G355" s="96" t="e">
        <f>MAX(G311,G328,IF(G310=0,0,0.004*I294*G301),IF(G328=0,0,IF(MAIN!C$12&lt;425,0.0024,0.0013)*I295*I294))</f>
        <v>#VALUE!</v>
      </c>
      <c r="H355" s="386"/>
      <c r="I355" s="96" t="e">
        <f>MAX(IF(I299=0,0.5,0.3)*$G343,IF(I325=0,0,MAX(I311,I326,0.002*I295*I294)))</f>
        <v>#VALUE!</v>
      </c>
      <c r="J355" s="750" t="s">
        <v>323</v>
      </c>
      <c r="K355" s="468"/>
    </row>
    <row r="356" spans="1:11" ht="15.75">
      <c r="A356" s="465"/>
      <c r="B356" s="384" t="s">
        <v>260</v>
      </c>
      <c r="C356" s="385" t="s">
        <v>13</v>
      </c>
      <c r="D356" s="737" t="str">
        <f>IF(MIN(MAIN!$J$12,MAIN!$J$13)+E378&lt;E356,"! ! !","ok")</f>
        <v>ok</v>
      </c>
      <c r="E356" s="80">
        <f>SPANS!F86</f>
        <v>16</v>
      </c>
      <c r="F356" s="737" t="str">
        <f>IF(MAIN!$J$11+G378&lt;G356,"! ! !","ok")</f>
        <v>ok</v>
      </c>
      <c r="G356" s="80">
        <f>SPANS!I83</f>
        <v>16</v>
      </c>
      <c r="H356" s="737" t="str">
        <f>IF(MIN(MAIN!$J$12,MAIN!$J$13)+I378&lt;I356,"! ! !","ok")</f>
        <v>ok</v>
      </c>
      <c r="I356" s="80">
        <f>SPANS!L86</f>
        <v>16</v>
      </c>
      <c r="J356" s="750"/>
      <c r="K356" s="403" t="str">
        <f>IF(AND(AND(D356="ok",F356="ok"),H356="ok"),"","Inadequate Cover")</f>
        <v></v>
      </c>
    </row>
    <row r="357" spans="1:11" ht="15.75">
      <c r="A357" s="465"/>
      <c r="B357" s="384" t="s">
        <v>136</v>
      </c>
      <c r="C357" s="385"/>
      <c r="D357" s="738"/>
      <c r="E357" s="80" t="e">
        <f>MAX(1,CEILING(E355/PI()*4/E356^2,1))</f>
        <v>#VALUE!</v>
      </c>
      <c r="F357" s="738"/>
      <c r="G357" s="80" t="e">
        <f>IF(G356=0,0,MAX(1,CEILING(G355/PI()*4/G356^2,1)))</f>
        <v>#VALUE!</v>
      </c>
      <c r="H357" s="738"/>
      <c r="I357" s="80" t="e">
        <f>MAX(1,CEILING(I355/PI()*4/I356^2,1))</f>
        <v>#VALUE!</v>
      </c>
      <c r="J357" s="750"/>
      <c r="K357" s="468"/>
    </row>
    <row r="358" spans="1:11" ht="15.75">
      <c r="A358" s="465"/>
      <c r="B358" s="384" t="s">
        <v>114</v>
      </c>
      <c r="C358" s="385" t="s">
        <v>109</v>
      </c>
      <c r="D358" s="738"/>
      <c r="E358" s="96" t="e">
        <f>PI()/4*E356^2*E357</f>
        <v>#VALUE!</v>
      </c>
      <c r="F358" s="738"/>
      <c r="G358" s="96" t="e">
        <f>PI()/4*G356^2*G357</f>
        <v>#VALUE!</v>
      </c>
      <c r="H358" s="738"/>
      <c r="I358" s="96" t="e">
        <f>PI()/4*I356^2*I357</f>
        <v>#VALUE!</v>
      </c>
      <c r="J358" s="750"/>
      <c r="K358" s="468"/>
    </row>
    <row r="359" spans="1:11" ht="15.75">
      <c r="A359" s="465"/>
      <c r="B359" s="384" t="s">
        <v>261</v>
      </c>
      <c r="C359" s="385" t="s">
        <v>252</v>
      </c>
      <c r="D359" s="737" t="e">
        <f>IF(E359&gt;4,"! ! !","ok")</f>
        <v>#VALUE!</v>
      </c>
      <c r="E359" s="99" t="e">
        <f>100*E358/E300/I295</f>
        <v>#VALUE!</v>
      </c>
      <c r="F359" s="737" t="e">
        <f>IF(G359&gt;4,"! ! !","ok")</f>
        <v>#VALUE!</v>
      </c>
      <c r="G359" s="99" t="e">
        <f>100*G358/G300/I295</f>
        <v>#VALUE!</v>
      </c>
      <c r="H359" s="737" t="e">
        <f>IF(I359&gt;4,"! ! !","ok")</f>
        <v>#VALUE!</v>
      </c>
      <c r="I359" s="99" t="e">
        <f>100*I358/I300/I295</f>
        <v>#VALUE!</v>
      </c>
      <c r="J359" s="795" t="s">
        <v>445</v>
      </c>
      <c r="K359" s="403" t="e">
        <f>IF(AND(AND(D359="ok",F359="ok"),H359="ok"),"","As &gt; 4%")</f>
        <v>#VALUE!</v>
      </c>
    </row>
    <row r="360" spans="1:11" ht="15.75">
      <c r="A360" s="465"/>
      <c r="B360" s="384" t="s">
        <v>262</v>
      </c>
      <c r="C360" s="385" t="s">
        <v>13</v>
      </c>
      <c r="D360" s="738"/>
      <c r="E360" s="94" t="e">
        <f>IF(E357&lt;2,0,(MAIN!$J$16+2/MAIN!$J$18*E308-2*(MAIN!$J$13+E378)-E356*E357)/(E357-1))</f>
        <v>#VALUE!</v>
      </c>
      <c r="F360" s="738"/>
      <c r="G360" s="94" t="e">
        <f>IF(G357&lt;2,0,(MAIN!$J$16+2/MAIN!$J$18*(I294-G308)-2*(MAIN!$J$13+G378)-G356*G357)/(G357-1))</f>
        <v>#VALUE!</v>
      </c>
      <c r="H360" s="738"/>
      <c r="I360" s="94" t="e">
        <f>IF(I357&lt;2,0,(MAIN!$J$16+2/MAIN!$J$18*I308-2*(MAIN!$J$13+I378)-I356*I357)/(I357-1))</f>
        <v>#VALUE!</v>
      </c>
      <c r="J360" s="750" t="s">
        <v>263</v>
      </c>
      <c r="K360" s="468"/>
    </row>
    <row r="361" spans="1:11" ht="15.75">
      <c r="A361" s="465"/>
      <c r="B361" s="384" t="s">
        <v>264</v>
      </c>
      <c r="C361" s="385" t="s">
        <v>13</v>
      </c>
      <c r="D361" s="737" t="e">
        <f>IF(E360&lt;E361,"! ! !","ok")</f>
        <v>#VALUE!</v>
      </c>
      <c r="E361" s="94" t="e">
        <f>IF(E357&lt;2,0,MAX(E356,MAIN!$F$11+5))</f>
        <v>#VALUE!</v>
      </c>
      <c r="F361" s="737" t="e">
        <f>IF(G360&lt;G361,"! ! !","ok")</f>
        <v>#VALUE!</v>
      </c>
      <c r="G361" s="94" t="e">
        <f>IF(G357&lt;2,0,MAX(G356,MAIN!$F$11+5))</f>
        <v>#VALUE!</v>
      </c>
      <c r="H361" s="737" t="e">
        <f>IF(I360&lt;I361,"! ! !","ok")</f>
        <v>#VALUE!</v>
      </c>
      <c r="I361" s="94" t="e">
        <f>IF(I357&lt;2,0,MAX(I356,MAIN!$F$11+5))</f>
        <v>#VALUE!</v>
      </c>
      <c r="J361" s="750" t="s">
        <v>265</v>
      </c>
      <c r="K361" s="403" t="e">
        <f>IF(AND(AND(D361="ok",F361="ok"),H361="ok"),"","Min spacing fails")</f>
        <v>#VALUE!</v>
      </c>
    </row>
    <row r="362" spans="1:11" ht="15.75">
      <c r="A362" s="465"/>
      <c r="B362" s="382" t="s">
        <v>270</v>
      </c>
      <c r="C362" s="394"/>
      <c r="D362" s="386"/>
      <c r="E362" s="93"/>
      <c r="F362" s="386"/>
      <c r="G362" s="93"/>
      <c r="H362" s="386"/>
      <c r="I362" s="93"/>
      <c r="J362" s="750"/>
      <c r="K362" s="468"/>
    </row>
    <row r="363" spans="1:11" ht="15.75">
      <c r="A363" s="465"/>
      <c r="B363" s="384" t="s">
        <v>271</v>
      </c>
      <c r="C363" s="385" t="s">
        <v>11</v>
      </c>
      <c r="D363" s="386"/>
      <c r="E363" s="94">
        <f>MAX(0.00001,2/3*MAIN!$C$12*E313/(E343+E353)/E297)</f>
        <v>1E-05</v>
      </c>
      <c r="F363" s="390"/>
      <c r="G363" s="94" t="e">
        <f>MAX(0.00001,2/3*MAIN!$C$12*G313/G343/G297)</f>
        <v>#VALUE!</v>
      </c>
      <c r="H363" s="390"/>
      <c r="I363" s="94" t="e">
        <f>MAX(1,2/3*MAIN!$C$12*I313/(I343+I353)/I297)</f>
        <v>#VALUE!</v>
      </c>
      <c r="J363" s="750" t="s">
        <v>327</v>
      </c>
      <c r="K363" s="468"/>
    </row>
    <row r="364" spans="1:11" ht="15.75">
      <c r="A364" s="465"/>
      <c r="B364" s="384" t="s">
        <v>272</v>
      </c>
      <c r="C364" s="385"/>
      <c r="D364" s="386"/>
      <c r="E364" s="93">
        <f>7*IF(G294&gt;10,10/G294,1)</f>
        <v>7</v>
      </c>
      <c r="F364" s="386"/>
      <c r="G364" s="93">
        <f>MAX(IF(SPANS!S$2=1,16,20.8),IF(SPANS!S$2=1,20,26)-5.2/0.7*(1-G314))*IF(G294&gt;10,10/G294,1)</f>
        <v>20.8</v>
      </c>
      <c r="H364" s="386"/>
      <c r="I364" s="93"/>
      <c r="J364" s="750" t="s">
        <v>273</v>
      </c>
      <c r="K364" s="468"/>
    </row>
    <row r="365" spans="1:11" ht="15.75">
      <c r="A365" s="465"/>
      <c r="B365" s="384" t="s">
        <v>274</v>
      </c>
      <c r="C365" s="385"/>
      <c r="D365" s="386"/>
      <c r="E365" s="93">
        <f>MIN(0.55+(477-E363)/120/(0.9+MAIN!C$11*E305),2)</f>
        <v>2</v>
      </c>
      <c r="F365" s="386"/>
      <c r="G365" s="93" t="e">
        <f>MIN(0.55+(477-G363)/120/(0.9+MAIN!C$11*G305),2)</f>
        <v>#VALUE!</v>
      </c>
      <c r="H365" s="386"/>
      <c r="I365" s="93"/>
      <c r="J365" s="750" t="s">
        <v>325</v>
      </c>
      <c r="K365" s="468"/>
    </row>
    <row r="366" spans="1:11" ht="15.75">
      <c r="A366" s="465"/>
      <c r="B366" s="384" t="s">
        <v>276</v>
      </c>
      <c r="C366" s="385"/>
      <c r="D366" s="386"/>
      <c r="E366" s="93">
        <v>1</v>
      </c>
      <c r="F366" s="386"/>
      <c r="G366" s="93" t="e">
        <f>MIN(1.5,1+100*G358/G300/G301/(3+100*G358/G300/G301))</f>
        <v>#VALUE!</v>
      </c>
      <c r="H366" s="386"/>
      <c r="I366" s="93"/>
      <c r="J366" s="750" t="s">
        <v>275</v>
      </c>
      <c r="K366" s="468"/>
    </row>
    <row r="367" spans="1:11" ht="15.75">
      <c r="A367" s="465"/>
      <c r="B367" s="384" t="s">
        <v>277</v>
      </c>
      <c r="C367" s="385"/>
      <c r="D367" s="683" t="str">
        <f>IF(AND(MAIN!I$22=5,MAIN!J$22="C"),"Cant","-")</f>
        <v>-</v>
      </c>
      <c r="E367" s="682">
        <f>IF(LEFT(D367,1)="C",E364*E365*E366*IF(MAIN!C$14&lt;20,0.85,1),0)</f>
        <v>0</v>
      </c>
      <c r="F367" s="386"/>
      <c r="G367" s="93" t="e">
        <f>IF(LEFT(D367,1)="C",0,G364*G365*G366*IF(MAIN!C$14&lt;20,0.85,1))</f>
        <v>#VALUE!</v>
      </c>
      <c r="H367" s="386"/>
      <c r="I367" s="93"/>
      <c r="J367" s="750" t="s">
        <v>278</v>
      </c>
      <c r="K367" s="468"/>
    </row>
    <row r="368" spans="1:11" ht="15.75">
      <c r="A368" s="465"/>
      <c r="B368" s="384" t="s">
        <v>279</v>
      </c>
      <c r="C368" s="385"/>
      <c r="D368" s="386" t="str">
        <f>IF(E368&gt;E367,"! ! !","ok")</f>
        <v>ok</v>
      </c>
      <c r="E368" s="93">
        <f>IF(LEFT(D367,1)="C",1000*G294/E300,0)</f>
        <v>0</v>
      </c>
      <c r="F368" s="737" t="e">
        <f>IF(G368&gt;G367,"! ! !","ok")</f>
        <v>#VALUE!</v>
      </c>
      <c r="G368" s="93">
        <f>IF(LEFT(D367,1)="C",0,1000*G294/G300)</f>
        <v>0</v>
      </c>
      <c r="H368" s="396"/>
      <c r="I368" s="93"/>
      <c r="J368" s="750" t="s">
        <v>280</v>
      </c>
      <c r="K368" s="403" t="e">
        <f>IF(AND(D368="ok",F368="ok"),"","Deflection failure")</f>
        <v>#VALUE!</v>
      </c>
    </row>
    <row r="369" spans="1:11" ht="15.75">
      <c r="A369" s="465"/>
      <c r="B369" s="384" t="s">
        <v>281</v>
      </c>
      <c r="C369" s="385" t="s">
        <v>252</v>
      </c>
      <c r="D369" s="386"/>
      <c r="E369" s="93">
        <f>IF(LEFT(D367,1)="C",MAX(0,(2/3*MAIN!$C$12*E313/(477-120*(MIN(2,E368/(E364*E366*IF(MAIN!C$14&lt;20,0.85,1)))-0.55)*(0.9+MAIN!C$11*E305))/E297)/E313-1),0)</f>
        <v>0</v>
      </c>
      <c r="F369" s="386"/>
      <c r="G369" s="93" t="e">
        <f>IF(LEFT(D274,1)="C",0,MAX(0,(2/3*MAIN!$C$12*G313/(477-120*(MIN(2,G368/(G364*G366*IF(MAIN!C$14&lt;20,0.85,1)))-0.55)*(0.9+MAIN!C$11*G305))/G297)/G313-1))</f>
        <v>#VALUE!</v>
      </c>
      <c r="H369" s="386"/>
      <c r="I369" s="93"/>
      <c r="J369" s="750"/>
      <c r="K369" s="468"/>
    </row>
    <row r="370" spans="1:11" ht="15.75">
      <c r="A370" s="465"/>
      <c r="B370" s="397"/>
      <c r="C370" s="394"/>
      <c r="D370" s="386"/>
      <c r="E370" s="93"/>
      <c r="F370" s="386"/>
      <c r="G370" s="93"/>
      <c r="H370" s="386"/>
      <c r="I370" s="93"/>
      <c r="J370" s="750"/>
      <c r="K370" s="468"/>
    </row>
    <row r="371" spans="1:11" ht="15.75">
      <c r="A371" s="465"/>
      <c r="B371" s="382" t="s">
        <v>282</v>
      </c>
      <c r="C371" s="122"/>
      <c r="D371" s="386"/>
      <c r="E371" s="632"/>
      <c r="F371" s="387"/>
      <c r="G371" s="100"/>
      <c r="H371" s="387"/>
      <c r="I371" s="632"/>
      <c r="J371" s="750"/>
      <c r="K371" s="468"/>
    </row>
    <row r="372" spans="1:11" ht="15.75">
      <c r="A372" s="465"/>
      <c r="B372" s="384" t="s">
        <v>328</v>
      </c>
      <c r="C372" s="385" t="s">
        <v>71</v>
      </c>
      <c r="D372" s="398"/>
      <c r="E372" s="92">
        <f>MAX(Analysis!D236:D238)</f>
        <v>0</v>
      </c>
      <c r="F372" s="399"/>
      <c r="G372" s="101"/>
      <c r="H372" s="399"/>
      <c r="I372" s="92">
        <f>MAX(Analysis!J236:J238)</f>
        <v>0</v>
      </c>
      <c r="J372" s="755"/>
      <c r="K372" s="468"/>
    </row>
    <row r="373" spans="1:11" ht="15.75">
      <c r="A373" s="465"/>
      <c r="B373" s="384" t="s">
        <v>332</v>
      </c>
      <c r="C373" s="385" t="s">
        <v>283</v>
      </c>
      <c r="D373" s="386"/>
      <c r="E373" s="100">
        <f>MAX(MAIN!E21,E300)/1000</f>
        <v>-0.036</v>
      </c>
      <c r="F373" s="388"/>
      <c r="G373" s="92"/>
      <c r="H373" s="388"/>
      <c r="I373" s="100">
        <f>MAX(MAIN!F21,I300)/1000</f>
        <v>-0.036</v>
      </c>
      <c r="J373" s="750" t="s">
        <v>331</v>
      </c>
      <c r="K373" s="468"/>
    </row>
    <row r="374" spans="1:11" ht="15.75">
      <c r="A374" s="465"/>
      <c r="B374" s="384" t="s">
        <v>284</v>
      </c>
      <c r="C374" s="385" t="s">
        <v>285</v>
      </c>
      <c r="D374" s="386"/>
      <c r="E374" s="93">
        <f>(E372-Analysis!G298*E373-Analysis!G299)*MAIN!$J$17/1000</f>
        <v>0</v>
      </c>
      <c r="F374" s="386"/>
      <c r="G374" s="93"/>
      <c r="H374" s="386"/>
      <c r="I374" s="93">
        <f>(I372-Analysis!G298*I373-Analysis!G300)*MAIN!$J$17/1000</f>
        <v>0</v>
      </c>
      <c r="J374" s="750"/>
      <c r="K374" s="468"/>
    </row>
    <row r="375" spans="1:11" ht="15.75">
      <c r="A375" s="465"/>
      <c r="B375" s="384" t="s">
        <v>117</v>
      </c>
      <c r="C375" s="385" t="s">
        <v>11</v>
      </c>
      <c r="D375" s="386"/>
      <c r="E375" s="95">
        <f>1000*E374/$I295/E300</f>
        <v>0</v>
      </c>
      <c r="F375" s="386"/>
      <c r="G375" s="95"/>
      <c r="H375" s="386"/>
      <c r="I375" s="95">
        <f>1000*I374/$I295/I300</f>
        <v>0</v>
      </c>
      <c r="J375" s="750" t="s">
        <v>326</v>
      </c>
      <c r="K375" s="468"/>
    </row>
    <row r="376" spans="1:11" ht="15.75">
      <c r="A376" s="465"/>
      <c r="B376" s="384" t="s">
        <v>118</v>
      </c>
      <c r="C376" s="385" t="s">
        <v>11</v>
      </c>
      <c r="D376" s="386"/>
      <c r="E376" s="95" t="e">
        <f>0.632*MAX(1,400/E300)^0.25*MIN(3,100*MAX(E343,E358)/$I295/E300)^0.3333333*(MIN(MAIN!$C$11,40)/25)^0.3333333*IF(MAIN!$C$14&lt;20,0.8,1)</f>
        <v>#VALUE!</v>
      </c>
      <c r="F376" s="386"/>
      <c r="G376" s="95" t="str">
        <f>G283</f>
        <v>NOMINAL</v>
      </c>
      <c r="H376" s="386"/>
      <c r="I376" s="95" t="e">
        <f>0.632*MAX(1,400/I300)^0.25*MIN(3,100*MAX(I343,I358)/$I295/I300)^0.3333333*(MIN(MAIN!$C$11,40)/25)^0.3333333*IF(MAIN!$C$14&lt;20,0.8,1)</f>
        <v>#VALUE!</v>
      </c>
      <c r="J376" s="750" t="s">
        <v>287</v>
      </c>
      <c r="K376" s="468"/>
    </row>
    <row r="377" spans="1:11" ht="15.75">
      <c r="A377" s="465"/>
      <c r="B377" s="384" t="s">
        <v>329</v>
      </c>
      <c r="C377" s="385" t="s">
        <v>286</v>
      </c>
      <c r="D377" s="386"/>
      <c r="E377" s="94" t="e">
        <f>MAX(0.4,E375-E376)*$I295</f>
        <v>#VALUE!</v>
      </c>
      <c r="F377" s="390"/>
      <c r="G377" s="94">
        <f>L$87*I295</f>
        <v>0.00014</v>
      </c>
      <c r="H377" s="390"/>
      <c r="I377" s="94" t="e">
        <f>MAX(0.4,I375-I376)*$I295</f>
        <v>#VALUE!</v>
      </c>
      <c r="J377" s="750" t="s">
        <v>324</v>
      </c>
      <c r="K377" s="468"/>
    </row>
    <row r="378" spans="1:11" ht="15.75">
      <c r="A378" s="465"/>
      <c r="B378" s="384" t="s">
        <v>119</v>
      </c>
      <c r="C378" s="385" t="s">
        <v>13</v>
      </c>
      <c r="D378" s="386"/>
      <c r="E378" s="80">
        <f>SPANS!I90</f>
        <v>6</v>
      </c>
      <c r="F378" s="52"/>
      <c r="G378" s="80">
        <f>E378</f>
        <v>6</v>
      </c>
      <c r="H378" s="52"/>
      <c r="I378" s="80">
        <f>E378</f>
        <v>6</v>
      </c>
      <c r="J378" s="750" t="s">
        <v>288</v>
      </c>
      <c r="K378" s="468"/>
    </row>
    <row r="379" spans="1:11" ht="15.75">
      <c r="A379" s="465"/>
      <c r="B379" s="384" t="s">
        <v>289</v>
      </c>
      <c r="C379" s="385" t="s">
        <v>13</v>
      </c>
      <c r="D379" s="386"/>
      <c r="E379" s="96" t="e">
        <f>FLOOR(MIN(0.75*E300,0.75*G300,PI()/2*E378^2*MAIN!$C$13/MAIN!$F$12/E377,IF(E326&gt;0,12*E356,600)),5)</f>
        <v>#VALUE!</v>
      </c>
      <c r="F379" s="386"/>
      <c r="G379" s="96">
        <f>K13</f>
        <v>1200</v>
      </c>
      <c r="H379" s="386"/>
      <c r="I379" s="96" t="e">
        <f>FLOOR(MIN(0.75*I300,0.75*G300,PI()/2*I378^2*MAIN!$C$13/MAIN!$F$12/I377,IF(I326&gt;0,12*I356,600)),5)</f>
        <v>#VALUE!</v>
      </c>
      <c r="J379" s="750" t="s">
        <v>290</v>
      </c>
      <c r="K379" s="468"/>
    </row>
    <row r="380" spans="1:11" ht="15.75">
      <c r="A380" s="465"/>
      <c r="B380" s="384" t="s">
        <v>291</v>
      </c>
      <c r="C380" s="385" t="s">
        <v>13</v>
      </c>
      <c r="D380" s="386"/>
      <c r="E380" s="80" t="e">
        <f>CEILING(MAX(0,(1000*E374-E376*$I295*E300)/Analysis!$F236),E379)</f>
        <v>#VALUE!</v>
      </c>
      <c r="F380" s="386"/>
      <c r="G380" s="80" t="e">
        <f>CEILING(MAX(0,1000*(G294-E373-I373)-50-E380-I380-2*G379),G379)</f>
        <v>#VALUE!</v>
      </c>
      <c r="H380" s="386"/>
      <c r="I380" s="80" t="e">
        <f>CEILING(MAX(0,(1000*I374-I376*$I295*I300)/Analysis!$F236),I379)</f>
        <v>#VALUE!</v>
      </c>
      <c r="J380" s="750" t="s">
        <v>292</v>
      </c>
      <c r="K380" s="468"/>
    </row>
    <row r="381" spans="1:11" ht="15.75">
      <c r="A381" s="465"/>
      <c r="B381" s="384" t="s">
        <v>293</v>
      </c>
      <c r="C381" s="385" t="s">
        <v>13</v>
      </c>
      <c r="D381" s="396"/>
      <c r="E381" s="18"/>
      <c r="F381" s="737" t="e">
        <f>IF(G381&gt;MIN(G300,150),"! ! !","ok")</f>
        <v>#VALUE!</v>
      </c>
      <c r="G381" s="80" t="e">
        <f>INT(CEILING(G342-1,1)/2)*(G345+G341)</f>
        <v>#VALUE!</v>
      </c>
      <c r="H381" s="390"/>
      <c r="I381" s="18"/>
      <c r="J381" s="750" t="s">
        <v>294</v>
      </c>
      <c r="K381" s="403" t="e">
        <f>IF(F381="ok","","Too far from link")</f>
        <v>#VALUE!</v>
      </c>
    </row>
    <row r="382" spans="1:11" ht="15.75">
      <c r="A382" s="465"/>
      <c r="B382" s="384" t="s">
        <v>295</v>
      </c>
      <c r="C382" s="385" t="s">
        <v>13</v>
      </c>
      <c r="D382" s="737" t="e">
        <f>IF(E382&gt;150,"FAILS","ok")</f>
        <v>#VALUE!</v>
      </c>
      <c r="E382" s="94" t="e">
        <f>INT(CEILING(E357-1,1)/2)*(E360+E356)</f>
        <v>#VALUE!</v>
      </c>
      <c r="F382" s="737" t="e">
        <f>IF(G382&gt;150,"! ! !","ok")</f>
        <v>#VALUE!</v>
      </c>
      <c r="G382" s="94" t="e">
        <f>INT(CEILING(G357-1,1)/2)*(G360+G356)</f>
        <v>#VALUE!</v>
      </c>
      <c r="H382" s="737" t="e">
        <f>IF(I382&gt;150,"FAILS","ok")</f>
        <v>#VALUE!</v>
      </c>
      <c r="I382" s="94" t="e">
        <f>INT(CEILING(I357-1,1)/2)*(I360+I356)</f>
        <v>#VALUE!</v>
      </c>
      <c r="J382" s="750" t="s">
        <v>296</v>
      </c>
      <c r="K382" s="403" t="e">
        <f>IF(AND(AND(H382="ok",F382="ok"),H382="ok"),"","Too far from link")</f>
        <v>#VALUE!</v>
      </c>
    </row>
    <row r="383" spans="1:11" ht="15.75">
      <c r="A383" s="465"/>
      <c r="B383" s="384"/>
      <c r="C383" s="385"/>
      <c r="D383" s="396"/>
      <c r="E383" s="671"/>
      <c r="F383" s="396"/>
      <c r="G383" s="671"/>
      <c r="H383" s="396"/>
      <c r="I383" s="671"/>
      <c r="J383" s="750"/>
      <c r="K383" s="403"/>
    </row>
    <row r="384" spans="1:11" ht="15.75">
      <c r="A384" s="465"/>
      <c r="B384" s="384"/>
      <c r="C384" s="385"/>
      <c r="D384" s="396"/>
      <c r="E384" s="390"/>
      <c r="F384" s="396"/>
      <c r="G384" s="390"/>
      <c r="H384" s="396"/>
      <c r="I384" s="390"/>
      <c r="J384" s="750"/>
      <c r="K384" s="403"/>
    </row>
    <row r="385" spans="1:11" ht="15.75">
      <c r="A385" s="465"/>
      <c r="B385" s="384"/>
      <c r="C385" s="385"/>
      <c r="D385" s="396"/>
      <c r="E385" s="390"/>
      <c r="F385" s="396"/>
      <c r="G385" s="390"/>
      <c r="H385" s="396"/>
      <c r="I385" s="390"/>
      <c r="J385" s="750"/>
      <c r="K385" s="403"/>
    </row>
    <row r="386" spans="1:11" ht="15.75">
      <c r="A386" s="465"/>
      <c r="B386" s="384"/>
      <c r="C386" s="385"/>
      <c r="D386" s="396"/>
      <c r="E386" s="390"/>
      <c r="F386" s="396"/>
      <c r="G386" s="390"/>
      <c r="H386" s="396"/>
      <c r="I386" s="390"/>
      <c r="J386" s="750"/>
      <c r="K386" s="403"/>
    </row>
    <row r="387" spans="1:11" ht="15.75">
      <c r="A387" s="465"/>
      <c r="B387" s="384"/>
      <c r="C387" s="385"/>
      <c r="D387" s="396"/>
      <c r="E387" s="390"/>
      <c r="F387" s="396"/>
      <c r="G387" s="390"/>
      <c r="H387" s="396"/>
      <c r="I387" s="390"/>
      <c r="J387" s="750"/>
      <c r="K387" s="403"/>
    </row>
    <row r="388" spans="1:11" ht="15.75">
      <c r="A388" s="465"/>
      <c r="B388" s="384"/>
      <c r="C388" s="385"/>
      <c r="D388" s="396"/>
      <c r="E388" s="390"/>
      <c r="F388" s="396"/>
      <c r="G388" s="390"/>
      <c r="H388" s="396"/>
      <c r="I388" s="390"/>
      <c r="J388" s="750"/>
      <c r="K388" s="403"/>
    </row>
    <row r="389" spans="1:11" ht="15.75">
      <c r="A389" s="465"/>
      <c r="B389" s="384"/>
      <c r="C389" s="385"/>
      <c r="D389" s="396"/>
      <c r="E389" s="390"/>
      <c r="F389" s="396"/>
      <c r="G389" s="390"/>
      <c r="H389" s="396"/>
      <c r="I389" s="390"/>
      <c r="J389" s="750"/>
      <c r="K389" s="403"/>
    </row>
    <row r="390" spans="1:11" ht="15.75">
      <c r="A390" s="465"/>
      <c r="B390" s="384"/>
      <c r="C390" s="385"/>
      <c r="D390" s="396"/>
      <c r="E390" s="390"/>
      <c r="F390" s="396"/>
      <c r="G390" s="390"/>
      <c r="H390" s="396"/>
      <c r="I390" s="390"/>
      <c r="J390" s="750"/>
      <c r="K390" s="403"/>
    </row>
    <row r="391" spans="1:11" ht="15.75">
      <c r="A391" s="465"/>
      <c r="B391" s="384"/>
      <c r="C391" s="385"/>
      <c r="D391" s="396"/>
      <c r="E391" s="390"/>
      <c r="F391" s="396"/>
      <c r="G391" s="390"/>
      <c r="H391" s="396"/>
      <c r="I391" s="390"/>
      <c r="J391" s="750"/>
      <c r="K391" s="403"/>
    </row>
    <row r="392" spans="1:11" ht="15.75">
      <c r="A392" s="465"/>
      <c r="B392" s="384"/>
      <c r="C392" s="385"/>
      <c r="D392" s="396"/>
      <c r="E392" s="390"/>
      <c r="F392" s="396"/>
      <c r="G392" s="390"/>
      <c r="H392" s="396"/>
      <c r="I392" s="390"/>
      <c r="J392" s="750"/>
      <c r="K392" s="403"/>
    </row>
    <row r="393" spans="1:11" ht="15.75">
      <c r="A393" s="465"/>
      <c r="B393" s="384"/>
      <c r="C393" s="385"/>
      <c r="D393" s="396"/>
      <c r="E393" s="390"/>
      <c r="F393" s="396"/>
      <c r="G393" s="390"/>
      <c r="H393" s="396"/>
      <c r="I393" s="390"/>
      <c r="J393" s="750"/>
      <c r="K393" s="403"/>
    </row>
    <row r="394" spans="1:11" ht="16.5" thickBot="1">
      <c r="A394" s="465"/>
      <c r="B394" s="400"/>
      <c r="C394" s="401"/>
      <c r="D394" s="402"/>
      <c r="E394" s="401"/>
      <c r="F394" s="402"/>
      <c r="G394" s="401"/>
      <c r="H394" s="402"/>
      <c r="I394" s="401"/>
      <c r="J394" s="749"/>
      <c r="K394" s="403"/>
    </row>
    <row r="395" spans="1:11" ht="17.25" thickBot="1" thickTop="1">
      <c r="A395" s="465"/>
      <c r="B395" s="122"/>
      <c r="C395" s="122"/>
      <c r="D395" s="379"/>
      <c r="E395" s="377"/>
      <c r="F395" s="122"/>
      <c r="G395" s="377"/>
      <c r="H395" s="122"/>
      <c r="I395" s="377"/>
      <c r="J395" s="758"/>
      <c r="K395" s="465"/>
    </row>
    <row r="396" spans="1:11" ht="18">
      <c r="A396" s="465"/>
      <c r="B396" s="539" t="str">
        <f>B$2</f>
        <v> Project</v>
      </c>
      <c r="C396" s="540" t="str">
        <f>C$2</f>
        <v>Spreadsheets to BS 8110</v>
      </c>
      <c r="D396" s="542"/>
      <c r="E396" s="542"/>
      <c r="F396" s="542"/>
      <c r="G396" s="541"/>
      <c r="H396" s="542"/>
      <c r="I396" s="542"/>
      <c r="J396" s="753"/>
      <c r="K396" s="465"/>
    </row>
    <row r="397" spans="1:11" ht="18">
      <c r="A397" s="465"/>
      <c r="B397" s="543" t="str">
        <f>B$3</f>
        <v> Location</v>
      </c>
      <c r="C397" s="544" t="str">
        <f>C$3</f>
        <v>3rd Floor slab,  from 1 to 5a</v>
      </c>
      <c r="D397" s="545"/>
      <c r="E397" s="545"/>
      <c r="F397" s="545"/>
      <c r="G397" s="558" t="s">
        <v>416</v>
      </c>
      <c r="H397" s="545"/>
      <c r="I397" s="545"/>
      <c r="J397" s="754"/>
      <c r="K397" s="465"/>
    </row>
    <row r="398" spans="1:11" ht="15.75">
      <c r="A398" s="465"/>
      <c r="B398" s="546"/>
      <c r="C398" s="547" t="str">
        <f>C$4</f>
        <v>RIBBED SLABS to BS 8110:1997 (Analysis &amp; Design)</v>
      </c>
      <c r="D398" s="545"/>
      <c r="E398" s="545"/>
      <c r="F398" s="545"/>
      <c r="G398" s="122"/>
      <c r="H398" s="122"/>
      <c r="I398" s="122"/>
      <c r="J398" s="766" t="str">
        <f>J$4</f>
        <v>Made by  rmw    Job No  R68</v>
      </c>
      <c r="K398" s="465"/>
    </row>
    <row r="399" spans="1:11" ht="16.5" thickBot="1">
      <c r="A399" s="465"/>
      <c r="B399" s="549"/>
      <c r="C399" s="550" t="str">
        <f>C$5</f>
        <v>Originated from  RCC32.xls v2.2 on CD               © 2000-2003 BCA for RCC</v>
      </c>
      <c r="D399" s="552"/>
      <c r="E399" s="552"/>
      <c r="F399" s="552"/>
      <c r="G399" s="551"/>
      <c r="H399" s="551"/>
      <c r="I399" s="553" t="str">
        <f>I$5</f>
        <v> Date</v>
      </c>
      <c r="J399" s="767">
        <f>J$5</f>
        <v>39305</v>
      </c>
      <c r="K399" s="465"/>
    </row>
    <row r="400" spans="1:11" ht="15.75">
      <c r="A400" s="465"/>
      <c r="B400" s="637"/>
      <c r="C400" s="638"/>
      <c r="D400" s="639"/>
      <c r="E400" s="640"/>
      <c r="F400" s="639"/>
      <c r="G400" s="640"/>
      <c r="H400" s="639"/>
      <c r="I400" s="640"/>
      <c r="J400" s="748"/>
      <c r="K400" s="465"/>
    </row>
    <row r="401" spans="1:11" ht="19.5">
      <c r="A401" s="465"/>
      <c r="B401" s="743" t="s">
        <v>226</v>
      </c>
      <c r="C401" s="744"/>
      <c r="D401" s="745" t="s">
        <v>227</v>
      </c>
      <c r="E401" s="746">
        <v>5</v>
      </c>
      <c r="F401" s="635" t="s">
        <v>228</v>
      </c>
      <c r="G401" s="636">
        <f>MAIN!C22</f>
        <v>0</v>
      </c>
      <c r="H401" s="380" t="s">
        <v>229</v>
      </c>
      <c r="I401" s="381">
        <f>MAIN!D22</f>
        <v>0</v>
      </c>
      <c r="J401" s="755"/>
      <c r="K401" s="465"/>
    </row>
    <row r="402" spans="1:11" ht="18">
      <c r="A402" s="465"/>
      <c r="B402" s="376"/>
      <c r="C402" s="377"/>
      <c r="D402" s="694" t="str">
        <f>IF(G401=0,"-  No Span 5  ","")&amp;D474</f>
        <v>-  No Span 5  -</v>
      </c>
      <c r="E402" s="379"/>
      <c r="F402" s="379"/>
      <c r="G402" s="379"/>
      <c r="H402" s="380" t="s">
        <v>230</v>
      </c>
      <c r="I402" s="763">
        <f>Analysis!H8</f>
        <v>140</v>
      </c>
      <c r="J402" s="750" t="s">
        <v>231</v>
      </c>
      <c r="K402" s="465"/>
    </row>
    <row r="403" spans="1:11" ht="15.75">
      <c r="A403" s="465"/>
      <c r="B403" s="382" t="s">
        <v>232</v>
      </c>
      <c r="C403" s="377"/>
      <c r="D403" s="383"/>
      <c r="E403" s="474" t="s">
        <v>101</v>
      </c>
      <c r="F403" s="475"/>
      <c r="G403" s="474" t="s">
        <v>227</v>
      </c>
      <c r="H403" s="475"/>
      <c r="I403" s="474" t="s">
        <v>103</v>
      </c>
      <c r="J403" s="750" t="s">
        <v>233</v>
      </c>
      <c r="K403" s="465"/>
    </row>
    <row r="404" spans="1:11" ht="15.75">
      <c r="A404" s="465"/>
      <c r="B404" s="384" t="s">
        <v>106</v>
      </c>
      <c r="C404" s="385"/>
      <c r="D404" s="386"/>
      <c r="E404" s="91" t="str">
        <f>I297</f>
        <v>~</v>
      </c>
      <c r="F404" s="387"/>
      <c r="G404" s="91" t="e">
        <f>ACTIONS!H31</f>
        <v>#VALUE!</v>
      </c>
      <c r="H404" s="387"/>
      <c r="I404" s="91" t="str">
        <f>ACTIONS!I25</f>
        <v>~</v>
      </c>
      <c r="J404" s="759"/>
      <c r="K404" s="466"/>
    </row>
    <row r="405" spans="1:11" ht="15.75">
      <c r="A405" s="465"/>
      <c r="B405" s="384" t="s">
        <v>234</v>
      </c>
      <c r="C405" s="385" t="s">
        <v>87</v>
      </c>
      <c r="D405" s="386"/>
      <c r="E405" s="92" t="str">
        <f>I298</f>
        <v>~</v>
      </c>
      <c r="F405" s="388"/>
      <c r="G405" s="92" t="str">
        <f>ACTIONS!H30</f>
        <v>~</v>
      </c>
      <c r="H405" s="388"/>
      <c r="I405" s="92" t="str">
        <f>ACTIONS!I24</f>
        <v>~</v>
      </c>
      <c r="J405" s="759"/>
      <c r="K405" s="467"/>
    </row>
    <row r="406" spans="1:11" ht="15.75">
      <c r="A406" s="465"/>
      <c r="B406" s="384" t="s">
        <v>235</v>
      </c>
      <c r="C406" s="385" t="s">
        <v>236</v>
      </c>
      <c r="D406" s="386"/>
      <c r="E406" s="93" t="e">
        <f>MAIN!$J$17/1000*E405</f>
        <v>#VALUE!</v>
      </c>
      <c r="F406" s="386"/>
      <c r="G406" s="93" t="e">
        <f>MAIN!$J$17/1000*G405</f>
        <v>#VALUE!</v>
      </c>
      <c r="H406" s="386"/>
      <c r="I406" s="93" t="e">
        <f>MAIN!$J$17/1000*I405</f>
        <v>#VALUE!</v>
      </c>
      <c r="J406" s="759" t="s">
        <v>237</v>
      </c>
      <c r="K406" s="468"/>
    </row>
    <row r="407" spans="1:11" ht="15.75">
      <c r="A407" s="465"/>
      <c r="B407" s="384" t="s">
        <v>108</v>
      </c>
      <c r="C407" s="385" t="s">
        <v>13</v>
      </c>
      <c r="D407" s="386"/>
      <c r="E407" s="94">
        <f>I401-MAIN!$J$11-E485-E439/2</f>
        <v>-36</v>
      </c>
      <c r="F407" s="386"/>
      <c r="G407" s="94">
        <f>I401-MAIN!$J$12-G485-G439/2</f>
        <v>-38.5</v>
      </c>
      <c r="H407" s="386"/>
      <c r="I407" s="94">
        <f>I401-MAIN!$J$11-I485-I439/2</f>
        <v>-34</v>
      </c>
      <c r="J407" s="759"/>
      <c r="K407" s="469"/>
    </row>
    <row r="408" spans="1:11" ht="15.75">
      <c r="A408" s="465"/>
      <c r="B408" s="384" t="s">
        <v>238</v>
      </c>
      <c r="C408" s="385" t="s">
        <v>13</v>
      </c>
      <c r="D408" s="386"/>
      <c r="E408" s="80">
        <f>MAIN!J$17</f>
        <v>900</v>
      </c>
      <c r="F408" s="386"/>
      <c r="G408" s="80">
        <f>E408</f>
        <v>900</v>
      </c>
      <c r="H408" s="386"/>
      <c r="I408" s="80">
        <f>G408</f>
        <v>900</v>
      </c>
      <c r="J408" s="759"/>
      <c r="K408" s="470"/>
    </row>
    <row r="409" spans="1:11" ht="15.75">
      <c r="A409" s="465"/>
      <c r="B409" s="384" t="s">
        <v>239</v>
      </c>
      <c r="C409" s="385"/>
      <c r="D409" s="386"/>
      <c r="E409" s="95">
        <f>IF(E404&lt;0.9,0.402*(E404-0.4)-0.18*(E404-0.4)^2*1.5/MAIN!$F$13,0.775*0.45*0.67/MAIN!$F$13)</f>
        <v>0.15577500000000002</v>
      </c>
      <c r="F409" s="389"/>
      <c r="G409" s="95" t="e">
        <f>IF(G404&lt;0.9,0.402*(G404-0.4)-0.18*(G404-0.4)^2*1.5/MAIN!$F$13,0.775*0.45*0.67/MAIN!$F$13)</f>
        <v>#VALUE!</v>
      </c>
      <c r="H409" s="389"/>
      <c r="I409" s="95">
        <f>IF(I404&lt;0.9,0.402*(I404-0.4)-0.18*(I404-0.4)^2*1.5/MAIN!$F$13,0.775*0.45*0.67/MAIN!$F$13)</f>
        <v>0.15577500000000002</v>
      </c>
      <c r="J409" s="750" t="s">
        <v>240</v>
      </c>
      <c r="K409" s="471"/>
    </row>
    <row r="410" spans="1:11" ht="15.75">
      <c r="A410" s="465"/>
      <c r="B410" s="384" t="s">
        <v>321</v>
      </c>
      <c r="C410" s="385" t="s">
        <v>236</v>
      </c>
      <c r="D410" s="386"/>
      <c r="E410" s="93">
        <f>E409*MAIN!$J$16*E407^2*MAIN!$C$11/1000000</f>
        <v>1.0598931000000003</v>
      </c>
      <c r="F410" s="386"/>
      <c r="G410" s="93">
        <f>MIN(E409,I409)*MAIN!$J$16*F424^2*MAIN!$C$11/1000000</f>
        <v>1.2122118421875003</v>
      </c>
      <c r="H410" s="386"/>
      <c r="I410" s="93">
        <f>I409*MAIN!$J$16*I407^2*MAIN!$C$11/1000000</f>
        <v>0.9453984750000002</v>
      </c>
      <c r="J410" s="759" t="s">
        <v>241</v>
      </c>
      <c r="K410" s="468"/>
    </row>
    <row r="411" spans="1:11" ht="15.75">
      <c r="A411" s="465"/>
      <c r="B411" s="384" t="s">
        <v>322</v>
      </c>
      <c r="C411" s="385" t="s">
        <v>236</v>
      </c>
      <c r="D411" s="386"/>
      <c r="E411" s="93">
        <f>E410*E408/MAIN!$J$16</f>
        <v>6.359358600000001</v>
      </c>
      <c r="F411" s="386"/>
      <c r="G411" s="93" t="e">
        <f>MIN(G409*G408*G407^2*MAIN!C$11,0.67*MAIN!C$11/MAIN!F$13*E408*MAIN!J$15*(G407-MAIN!J$15/2))/1000000</f>
        <v>#VALUE!</v>
      </c>
      <c r="H411" s="386"/>
      <c r="I411" s="93">
        <f>I410*I408/MAIN!$J$16</f>
        <v>5.672390850000001</v>
      </c>
      <c r="J411" s="759" t="s">
        <v>237</v>
      </c>
      <c r="K411" s="468"/>
    </row>
    <row r="412" spans="1:11" ht="15.75">
      <c r="A412" s="465"/>
      <c r="B412" s="384" t="s">
        <v>39</v>
      </c>
      <c r="C412" s="385"/>
      <c r="D412" s="386"/>
      <c r="E412" s="95" t="e">
        <f>E406/E408/E407^2/MAIN!$C$11*1000000</f>
        <v>#VALUE!</v>
      </c>
      <c r="F412" s="389"/>
      <c r="G412" s="95" t="e">
        <f>G406/G408/G407^2/MAIN!$C$11*1000000</f>
        <v>#VALUE!</v>
      </c>
      <c r="H412" s="389"/>
      <c r="I412" s="95" t="e">
        <f>I406/I408/I407^2/MAIN!$C$11*1000000</f>
        <v>#VALUE!</v>
      </c>
      <c r="J412" s="750" t="s">
        <v>240</v>
      </c>
      <c r="K412" s="471"/>
    </row>
    <row r="413" spans="1:11" ht="15.75">
      <c r="A413" s="465"/>
      <c r="B413" s="384" t="s">
        <v>242</v>
      </c>
      <c r="C413" s="385" t="s">
        <v>13</v>
      </c>
      <c r="D413" s="386"/>
      <c r="E413" s="93" t="e">
        <f>E407*MIN(0.5+SQRT(0.25-MIN(E412,E409)/0.9),0.95)</f>
        <v>#VALUE!</v>
      </c>
      <c r="F413" s="386"/>
      <c r="G413" s="93" t="e">
        <f>IF(G406&gt;G411,G407-MAIN!J$15/2,G407*MIN(0.5+SQRT(0.25-MIN(G412,G409)/0.9),0.95))</f>
        <v>#VALUE!</v>
      </c>
      <c r="H413" s="386"/>
      <c r="I413" s="93" t="e">
        <f>I407*MIN(0.5+SQRT(0.25-MIN(I412,I409)/0.9),0.95)</f>
        <v>#VALUE!</v>
      </c>
      <c r="J413" s="759" t="s">
        <v>237</v>
      </c>
      <c r="K413" s="468"/>
    </row>
    <row r="414" spans="1:11" ht="15.75">
      <c r="A414" s="465"/>
      <c r="B414" s="384" t="s">
        <v>243</v>
      </c>
      <c r="C414" s="385" t="s">
        <v>13</v>
      </c>
      <c r="D414" s="386"/>
      <c r="E414" s="93" t="e">
        <f>(E407-E413)/0.45</f>
        <v>#VALUE!</v>
      </c>
      <c r="F414" s="386"/>
      <c r="G414" s="93" t="e">
        <f>(G407-G413)/0.45</f>
        <v>#VALUE!</v>
      </c>
      <c r="H414" s="386"/>
      <c r="I414" s="93" t="e">
        <f>(I407-I413)/0.45</f>
        <v>#VALUE!</v>
      </c>
      <c r="J414" s="759" t="s">
        <v>237</v>
      </c>
      <c r="K414" s="468"/>
    </row>
    <row r="415" spans="1:11" ht="15.75">
      <c r="A415" s="465"/>
      <c r="B415" s="384" t="s">
        <v>244</v>
      </c>
      <c r="C415" s="385" t="s">
        <v>13</v>
      </c>
      <c r="D415" s="386"/>
      <c r="E415" s="94">
        <f>MAIN!$J$12+E485+E454/2</f>
        <v>34</v>
      </c>
      <c r="F415" s="390"/>
      <c r="G415" s="94">
        <f>MAIN!$J$11+G485+G454/2</f>
        <v>32</v>
      </c>
      <c r="H415" s="390"/>
      <c r="I415" s="94">
        <f>MAIN!$J$12+I485+I454/2</f>
        <v>36</v>
      </c>
      <c r="J415" s="759"/>
      <c r="K415" s="469"/>
    </row>
    <row r="416" spans="1:11" ht="15.75">
      <c r="A416" s="465"/>
      <c r="B416" s="384" t="s">
        <v>245</v>
      </c>
      <c r="C416" s="385" t="s">
        <v>11</v>
      </c>
      <c r="D416" s="386"/>
      <c r="E416" s="94" t="e">
        <f>MAX(0.001,MIN(700*(E414-E415)/E414,MAIN!$C$12/MAIN!$F$12)-IF(0.9*E414&gt;E415,0.67*MAIN!$C$11/MAIN!$F$13,0))</f>
        <v>#VALUE!</v>
      </c>
      <c r="F416" s="390"/>
      <c r="G416" s="94" t="e">
        <f>MAX(0.001,MIN(700*(G414-G415)/G414,MAIN!$C$12/MAIN!$F$12)-IF(0.9*G414&gt;G415,0.67*MAIN!$C$11/MAIN!$F$13,0))</f>
        <v>#VALUE!</v>
      </c>
      <c r="H416" s="390"/>
      <c r="I416" s="94" t="e">
        <f>MAX(0.001,MIN(700*(I414-I415)/I414,MAIN!$C$12/MAIN!$F$12)-IF(0.9*I414&gt;I415,0.67*MAIN!$C$11/MAIN!$F$13,0))</f>
        <v>#VALUE!</v>
      </c>
      <c r="J416" s="750" t="s">
        <v>241</v>
      </c>
      <c r="K416" s="469"/>
    </row>
    <row r="417" spans="1:11" ht="15.75">
      <c r="A417" s="465"/>
      <c r="B417" s="384" t="s">
        <v>246</v>
      </c>
      <c r="C417" s="385" t="s">
        <v>236</v>
      </c>
      <c r="D417" s="386"/>
      <c r="E417" s="93" t="e">
        <f>MAX(0,E406-E411)</f>
        <v>#VALUE!</v>
      </c>
      <c r="F417" s="386"/>
      <c r="G417" s="93" t="e">
        <f>MAX(0,G406-MAX(G410:G411))</f>
        <v>#VALUE!</v>
      </c>
      <c r="H417" s="386"/>
      <c r="I417" s="93" t="e">
        <f>MAX(0,I406-I411)</f>
        <v>#VALUE!</v>
      </c>
      <c r="J417" s="759"/>
      <c r="K417" s="468"/>
    </row>
    <row r="418" spans="1:11" ht="15.75">
      <c r="A418" s="465"/>
      <c r="B418" s="384" t="s">
        <v>247</v>
      </c>
      <c r="C418" s="385" t="s">
        <v>109</v>
      </c>
      <c r="D418" s="386"/>
      <c r="E418" s="96" t="e">
        <f>1000000*E417/E416/(E407-E415)</f>
        <v>#VALUE!</v>
      </c>
      <c r="F418" s="391"/>
      <c r="G418" s="96" t="e">
        <f>1000000*G417/G416/(G407-G415)</f>
        <v>#VALUE!</v>
      </c>
      <c r="H418" s="391"/>
      <c r="I418" s="96" t="e">
        <f>1000000*I417/I416/(I407-I415)</f>
        <v>#VALUE!</v>
      </c>
      <c r="J418" s="759"/>
      <c r="K418" s="472"/>
    </row>
    <row r="419" spans="1:11" ht="15.75">
      <c r="A419" s="465"/>
      <c r="B419" s="384" t="s">
        <v>248</v>
      </c>
      <c r="C419" s="385" t="s">
        <v>11</v>
      </c>
      <c r="D419" s="386"/>
      <c r="E419" s="94" t="e">
        <f>MIN(700*(E407-E414)/E414,MAIN!$C$12/MAIN!$F$12)</f>
        <v>#VALUE!</v>
      </c>
      <c r="F419" s="390"/>
      <c r="G419" s="94" t="e">
        <f>MIN(700*(G407-G414)/G414,MAIN!$C$12/MAIN!$F$12)</f>
        <v>#VALUE!</v>
      </c>
      <c r="H419" s="390"/>
      <c r="I419" s="94" t="e">
        <f>MIN(700*(I407-I414)/I414,MAIN!$C$12/MAIN!$F$12)</f>
        <v>#VALUE!</v>
      </c>
      <c r="J419" s="750" t="s">
        <v>241</v>
      </c>
      <c r="K419" s="469"/>
    </row>
    <row r="420" spans="1:11" ht="15.75">
      <c r="A420" s="465"/>
      <c r="B420" s="384" t="s">
        <v>249</v>
      </c>
      <c r="C420" s="385" t="s">
        <v>109</v>
      </c>
      <c r="D420" s="386"/>
      <c r="E420" s="96" t="e">
        <f>1000000/E419*(E406-E417)/E413+E418*E416/E419</f>
        <v>#VALUE!</v>
      </c>
      <c r="F420" s="386"/>
      <c r="G420" s="96" t="e">
        <f>1000000/G419*(G406-G417)/G413+G418*G416/G419</f>
        <v>#VALUE!</v>
      </c>
      <c r="H420" s="386"/>
      <c r="I420" s="96" t="e">
        <f>1000000/I419*(I406-I417)/I413+I418*I416/I419</f>
        <v>#VALUE!</v>
      </c>
      <c r="J420" s="759"/>
      <c r="K420" s="472"/>
    </row>
    <row r="421" spans="1:11" ht="15.75">
      <c r="A421" s="465"/>
      <c r="B421" s="384" t="s">
        <v>250</v>
      </c>
      <c r="C421" s="385"/>
      <c r="D421" s="386"/>
      <c r="E421" s="93"/>
      <c r="F421" s="386"/>
      <c r="G421" s="93">
        <f>I402/G408</f>
        <v>0.15555555555555556</v>
      </c>
      <c r="H421" s="386"/>
      <c r="I421" s="93"/>
      <c r="J421" s="750"/>
      <c r="K421" s="468"/>
    </row>
    <row r="422" spans="1:11" ht="15.75">
      <c r="A422" s="465"/>
      <c r="B422" s="384" t="s">
        <v>251</v>
      </c>
      <c r="C422" s="385" t="s">
        <v>252</v>
      </c>
      <c r="D422" s="386"/>
      <c r="E422" s="97">
        <f>MAX(0.0013,MIN(0.0024,0.0024-0.0011*(MAIN!$C$12-250)/210))</f>
        <v>0.0013</v>
      </c>
      <c r="F422" s="392"/>
      <c r="G422" s="97">
        <f>IF(MAIN!C$12&gt;=460,IF(G421&lt;0.4,0.0018,0.0013),IF(MAIN!C$12&gt;=425,IF(G421&lt;0.4,0.0021,0.0015),IF(G421&lt;0.4,0.0032,0.0024)))</f>
        <v>0.0018</v>
      </c>
      <c r="H422" s="392"/>
      <c r="I422" s="97">
        <f>MAX(0.0013,MIN(0.0024,0.0024-0.0011*(MAIN!$C$12-250)/210))</f>
        <v>0.0013</v>
      </c>
      <c r="J422" s="750" t="s">
        <v>323</v>
      </c>
      <c r="K422" s="473"/>
    </row>
    <row r="423" spans="1:11" ht="15.75">
      <c r="A423" s="465"/>
      <c r="B423" s="384" t="s">
        <v>253</v>
      </c>
      <c r="C423" s="385" t="s">
        <v>109</v>
      </c>
      <c r="D423" s="386"/>
      <c r="E423" s="96">
        <f>E422*E408*I401</f>
        <v>0</v>
      </c>
      <c r="F423" s="386"/>
      <c r="G423" s="96">
        <f>G422*I401*I402</f>
        <v>0</v>
      </c>
      <c r="H423" s="386"/>
      <c r="I423" s="96">
        <f>I422*I408*I401</f>
        <v>0</v>
      </c>
      <c r="J423" s="759"/>
      <c r="K423" s="472"/>
    </row>
    <row r="424" spans="1:11" ht="15.75">
      <c r="A424" s="465"/>
      <c r="B424" s="393" t="s">
        <v>254</v>
      </c>
      <c r="C424" s="394"/>
      <c r="D424" s="386"/>
      <c r="E424" s="634" t="s">
        <v>255</v>
      </c>
      <c r="F424" s="395">
        <f>E407+E439/2-G439/2</f>
        <v>-38.5</v>
      </c>
      <c r="G424" s="634" t="s">
        <v>256</v>
      </c>
      <c r="H424" s="395">
        <f>E415-E454/2+G439/2</f>
        <v>38.5</v>
      </c>
      <c r="I424" s="634"/>
      <c r="J424" s="750"/>
      <c r="K424" s="468"/>
    </row>
    <row r="425" spans="1:11" ht="15.75">
      <c r="A425" s="465"/>
      <c r="B425" s="384" t="s">
        <v>234</v>
      </c>
      <c r="C425" s="385" t="s">
        <v>87</v>
      </c>
      <c r="D425" s="386"/>
      <c r="E425" s="92">
        <f>MAX(0,Graf!X99)</f>
        <v>0</v>
      </c>
      <c r="F425" s="388"/>
      <c r="G425" s="92">
        <f>MAX(0,Graf!H99,Graf!R99)</f>
        <v>0</v>
      </c>
      <c r="H425" s="388"/>
      <c r="I425" s="92">
        <f>MAX(0,Graf!Y99)</f>
        <v>0</v>
      </c>
      <c r="J425" s="759"/>
      <c r="K425" s="468"/>
    </row>
    <row r="426" spans="1:11" ht="15.75">
      <c r="A426" s="465"/>
      <c r="B426" s="384" t="s">
        <v>235</v>
      </c>
      <c r="C426" s="385" t="s">
        <v>236</v>
      </c>
      <c r="D426" s="386"/>
      <c r="E426" s="93">
        <f>MAIN!$J$17/1000*E425</f>
        <v>0</v>
      </c>
      <c r="F426" s="386"/>
      <c r="G426" s="93">
        <f>MAIN!$J$17/1000*G425</f>
        <v>0</v>
      </c>
      <c r="H426" s="386"/>
      <c r="I426" s="93">
        <f>MAIN!$J$17/1000*I425</f>
        <v>0</v>
      </c>
      <c r="J426" s="759"/>
      <c r="K426" s="468"/>
    </row>
    <row r="427" spans="1:11" ht="15.75">
      <c r="A427" s="465"/>
      <c r="B427" s="384" t="s">
        <v>238</v>
      </c>
      <c r="C427" s="385" t="s">
        <v>13</v>
      </c>
      <c r="D427" s="386"/>
      <c r="E427" s="80">
        <f>MAIN!J$16</f>
        <v>150</v>
      </c>
      <c r="F427" s="52"/>
      <c r="G427" s="80">
        <f>E427</f>
        <v>150</v>
      </c>
      <c r="H427" s="52"/>
      <c r="I427" s="80">
        <f>G427</f>
        <v>150</v>
      </c>
      <c r="J427" s="750"/>
      <c r="K427" s="468"/>
    </row>
    <row r="428" spans="1:11" ht="15.75">
      <c r="A428" s="465"/>
      <c r="B428" s="384" t="s">
        <v>39</v>
      </c>
      <c r="C428" s="385"/>
      <c r="D428" s="386"/>
      <c r="E428" s="95">
        <f>1000000*E426/E427/MAIN!$C$11/E407^2</f>
        <v>0</v>
      </c>
      <c r="F428" s="389"/>
      <c r="G428" s="95">
        <f>1000000*G426/G427/MAIN!$C$11/F424^2</f>
        <v>0</v>
      </c>
      <c r="H428" s="389"/>
      <c r="I428" s="95">
        <f>1000000*I426/I427/MAIN!$C$11/I407^2</f>
        <v>0</v>
      </c>
      <c r="J428" s="750" t="s">
        <v>240</v>
      </c>
      <c r="K428" s="468"/>
    </row>
    <row r="429" spans="1:11" ht="15.75">
      <c r="A429" s="465"/>
      <c r="B429" s="384" t="s">
        <v>242</v>
      </c>
      <c r="C429" s="385" t="s">
        <v>13</v>
      </c>
      <c r="D429" s="386"/>
      <c r="E429" s="93">
        <f>E407*MIN(0.5+SQRT(0.25-MIN(E428,E409)/0.9),0.95)</f>
        <v>-34.199999999999996</v>
      </c>
      <c r="F429" s="386"/>
      <c r="G429" s="93" t="e">
        <f>F424*MIN(0.5+SQRT(0.25-MIN(G428,G409)/0.9),0.95)</f>
        <v>#VALUE!</v>
      </c>
      <c r="H429" s="386"/>
      <c r="I429" s="93">
        <f>I407*MIN(0.5+SQRT(0.25-MIN(I428,I409)/0.9),0.95)</f>
        <v>-32.3</v>
      </c>
      <c r="J429" s="759" t="s">
        <v>237</v>
      </c>
      <c r="K429" s="468"/>
    </row>
    <row r="430" spans="1:11" ht="15.75">
      <c r="A430" s="465"/>
      <c r="B430" s="384" t="s">
        <v>243</v>
      </c>
      <c r="C430" s="385" t="s">
        <v>13</v>
      </c>
      <c r="D430" s="386"/>
      <c r="E430" s="93">
        <f>(E407-E429)/0.45</f>
        <v>-4.00000000000001</v>
      </c>
      <c r="F430" s="386"/>
      <c r="G430" s="93" t="e">
        <f>(F424-G429)/0.45</f>
        <v>#VALUE!</v>
      </c>
      <c r="H430" s="386"/>
      <c r="I430" s="93">
        <f>(I407-I429)/0.45</f>
        <v>-3.777777777777784</v>
      </c>
      <c r="J430" s="759" t="s">
        <v>237</v>
      </c>
      <c r="K430" s="468"/>
    </row>
    <row r="431" spans="1:11" ht="15.75">
      <c r="A431" s="465"/>
      <c r="B431" s="384" t="s">
        <v>245</v>
      </c>
      <c r="C431" s="385" t="s">
        <v>11</v>
      </c>
      <c r="D431" s="386"/>
      <c r="E431" s="94">
        <f>MAX(0.001,MIN(700*(E430-E415)/E430,MAIN!$C$12/MAIN!$F$12)-IF(0.9*E430&gt;E415,0.67*MAIN!$C$11/MAIN!$F$13,0))</f>
        <v>438.0952380952381</v>
      </c>
      <c r="F431" s="386"/>
      <c r="G431" s="94" t="e">
        <f>MAX(0.001,MIN(700*(G430-H424)/G430,MAIN!$C$12/MAIN!$F$12)-IF(0.9*G430&gt;H424,0.67*MAIN!$C$11/MAIN!$F$13,0))</f>
        <v>#VALUE!</v>
      </c>
      <c r="H431" s="386"/>
      <c r="I431" s="94">
        <f>MAX(0.001,MIN(700*(I430-I415)/I430,MAIN!$C$12/MAIN!$F$12)-IF(0.9*I430&gt;I415,0.67*MAIN!$C$11/MAIN!$F$13,0))</f>
        <v>438.0952380952381</v>
      </c>
      <c r="J431" s="750" t="s">
        <v>241</v>
      </c>
      <c r="K431" s="468"/>
    </row>
    <row r="432" spans="1:11" ht="15.75">
      <c r="A432" s="465"/>
      <c r="B432" s="384" t="s">
        <v>246</v>
      </c>
      <c r="C432" s="385" t="s">
        <v>236</v>
      </c>
      <c r="D432" s="386"/>
      <c r="E432" s="93">
        <f>MAX(0,E426-E410)</f>
        <v>0</v>
      </c>
      <c r="F432" s="386"/>
      <c r="G432" s="93">
        <f>MAX(0,G426-G410)</f>
        <v>0</v>
      </c>
      <c r="H432" s="386"/>
      <c r="I432" s="93">
        <f>MAX(0,I426-I410)</f>
        <v>0</v>
      </c>
      <c r="J432" s="750"/>
      <c r="K432" s="468"/>
    </row>
    <row r="433" spans="1:11" ht="15.75">
      <c r="A433" s="465"/>
      <c r="B433" s="384" t="s">
        <v>247</v>
      </c>
      <c r="C433" s="385" t="s">
        <v>109</v>
      </c>
      <c r="D433" s="386"/>
      <c r="E433" s="96">
        <f>1000000*MIN(E432/E431/(E407-E415),E426/MAIN!$C$12*MAIN!$F$12/(E407-E415))</f>
        <v>0</v>
      </c>
      <c r="F433" s="386"/>
      <c r="G433" s="96" t="e">
        <f>1000000*MIN(G432/G431/(F424-H424),G426/MAIN!$C$12*MAIN!$F$12/(F424-H424))</f>
        <v>#VALUE!</v>
      </c>
      <c r="H433" s="386"/>
      <c r="I433" s="96">
        <f>1000000*MIN(I432/I431/(I407-I415),I426/MAIN!$C$12*MAIN!$F$12/(I407-I415))</f>
        <v>0</v>
      </c>
      <c r="J433" s="750"/>
      <c r="K433" s="468"/>
    </row>
    <row r="434" spans="1:11" ht="15.75">
      <c r="A434" s="465"/>
      <c r="B434" s="384" t="s">
        <v>248</v>
      </c>
      <c r="C434" s="385" t="s">
        <v>11</v>
      </c>
      <c r="D434" s="386"/>
      <c r="E434" s="94">
        <f>MIN(700*(E407-E430)/E430,MAIN!$C$12/MAIN!$F$12)</f>
        <v>438.0952380952381</v>
      </c>
      <c r="F434" s="386"/>
      <c r="G434" s="94" t="e">
        <f>MIN(700*(F424-G430)/G430,MAIN!$C$12/MAIN!$F$12)</f>
        <v>#VALUE!</v>
      </c>
      <c r="H434" s="386"/>
      <c r="I434" s="94">
        <f>MIN(700*(I407-I430)/I430,MAIN!$C$12/MAIN!$F$12)</f>
        <v>438.0952380952381</v>
      </c>
      <c r="J434" s="750" t="s">
        <v>241</v>
      </c>
      <c r="K434" s="468"/>
    </row>
    <row r="435" spans="1:11" ht="15.75">
      <c r="A435" s="465"/>
      <c r="B435" s="384" t="s">
        <v>249</v>
      </c>
      <c r="C435" s="385" t="s">
        <v>109</v>
      </c>
      <c r="D435" s="386"/>
      <c r="E435" s="96">
        <f>1000000*MIN((E426-E432)/E429/E434+E433*E431/E434,E426/MAIN!$C$12*MAIN!$F$12/(E407-E415))</f>
        <v>0</v>
      </c>
      <c r="F435" s="386"/>
      <c r="G435" s="96" t="e">
        <f>1000000*MIN((G426-G432)/G429/G434+G433*G431/G434,G426/MAIN!$C$12*MAIN!$F$12/(F424-H424))</f>
        <v>#VALUE!</v>
      </c>
      <c r="H435" s="386"/>
      <c r="I435" s="96">
        <f>1000000*MIN((I426-I432)/I429/I434+I433*I431/I434,I426/MAIN!$C$12*MAIN!$F$12/(I407-I415))</f>
        <v>0</v>
      </c>
      <c r="J435" s="750"/>
      <c r="K435" s="468"/>
    </row>
    <row r="436" spans="1:11" ht="15.75">
      <c r="A436" s="465"/>
      <c r="B436" s="382" t="s">
        <v>257</v>
      </c>
      <c r="C436" s="394"/>
      <c r="D436" s="386"/>
      <c r="E436" s="93"/>
      <c r="F436" s="386"/>
      <c r="G436" s="93"/>
      <c r="H436" s="386"/>
      <c r="I436" s="93"/>
      <c r="J436" s="750"/>
      <c r="K436" s="468"/>
    </row>
    <row r="437" spans="1:11" ht="15.75">
      <c r="A437" s="465"/>
      <c r="B437" s="384" t="s">
        <v>258</v>
      </c>
      <c r="C437" s="385" t="s">
        <v>109</v>
      </c>
      <c r="D437" s="386"/>
      <c r="E437" s="96" t="e">
        <f>E420*(1+E476)</f>
        <v>#VALUE!</v>
      </c>
      <c r="F437" s="391"/>
      <c r="G437" s="96" t="e">
        <f>G420*(1+G476)</f>
        <v>#VALUE!</v>
      </c>
      <c r="H437" s="391"/>
      <c r="I437" s="96" t="e">
        <f>I420*(1+I476)</f>
        <v>#VALUE!</v>
      </c>
      <c r="J437" s="750"/>
      <c r="K437" s="468"/>
    </row>
    <row r="438" spans="1:11" ht="15.75">
      <c r="A438" s="465"/>
      <c r="B438" s="384" t="s">
        <v>259</v>
      </c>
      <c r="C438" s="385" t="s">
        <v>109</v>
      </c>
      <c r="D438" s="386"/>
      <c r="E438" s="96">
        <f>MAX(E447*$I401*$I402,E435*(1+E476))</f>
        <v>0</v>
      </c>
      <c r="F438" s="391"/>
      <c r="G438" s="96" t="e">
        <f>MAX(G437,G423,G435)</f>
        <v>#VALUE!</v>
      </c>
      <c r="H438" s="391"/>
      <c r="I438" s="96">
        <f>MAX(I447*$I401*$I402,I435*(1+I476))</f>
        <v>0</v>
      </c>
      <c r="J438" s="750"/>
      <c r="K438" s="468"/>
    </row>
    <row r="439" spans="1:11" ht="15.75">
      <c r="A439" s="465"/>
      <c r="B439" s="384" t="s">
        <v>374</v>
      </c>
      <c r="C439" s="385" t="s">
        <v>13</v>
      </c>
      <c r="D439" s="737" t="str">
        <f>IF(MAIN!$J$11+E485&lt;E439,"! ! !","ok")</f>
        <v>ok</v>
      </c>
      <c r="E439" s="80">
        <f>SPANS!F110</f>
        <v>20</v>
      </c>
      <c r="F439" s="737" t="str">
        <f>IF(MIN(MAIN!$J$12,MAIN!$J$13)+G485&lt;G439,"! ! !","ok")</f>
        <v>ok</v>
      </c>
      <c r="G439" s="80">
        <f>SPANS!I113</f>
        <v>25</v>
      </c>
      <c r="H439" s="737" t="str">
        <f>IF(MAIN!$J$11+I485&lt;I439,"! ! !","ok")</f>
        <v>ok</v>
      </c>
      <c r="I439" s="80">
        <f>SPANS!L110</f>
        <v>16</v>
      </c>
      <c r="J439" s="750"/>
      <c r="K439" s="403" t="str">
        <f>IF(AND(AND(D439="ok",F439="ok"),H439="ok"),"","Inadequate Cover")</f>
        <v></v>
      </c>
    </row>
    <row r="440" spans="1:11" ht="15.75">
      <c r="A440" s="465"/>
      <c r="B440" s="384" t="s">
        <v>136</v>
      </c>
      <c r="C440" s="385"/>
      <c r="D440" s="738"/>
      <c r="E440" s="80">
        <f>MAX(2,CEILING(E438/PI()*4/E439^2,1))</f>
        <v>2</v>
      </c>
      <c r="F440" s="738"/>
      <c r="G440" s="80" t="e">
        <f>MAX(1,CEILING(G438/PI()*4/G439^2,1))</f>
        <v>#VALUE!</v>
      </c>
      <c r="H440" s="738"/>
      <c r="I440" s="80">
        <f>MAX(2,CEILING(I438/PI()*4/I439^2,1))</f>
        <v>2</v>
      </c>
      <c r="J440" s="750"/>
      <c r="K440" s="468"/>
    </row>
    <row r="441" spans="1:11" ht="15.75">
      <c r="A441" s="465"/>
      <c r="B441" s="384" t="s">
        <v>112</v>
      </c>
      <c r="C441" s="385" t="s">
        <v>109</v>
      </c>
      <c r="D441" s="738"/>
      <c r="E441" s="96">
        <f>PI()/4*E439^2*E440</f>
        <v>628.3185307179587</v>
      </c>
      <c r="F441" s="739"/>
      <c r="G441" s="96" t="e">
        <f>PI()/4*G439^2*G440</f>
        <v>#VALUE!</v>
      </c>
      <c r="H441" s="739"/>
      <c r="I441" s="96">
        <f>PI()/4*I439^2*I440</f>
        <v>402.1238596594935</v>
      </c>
      <c r="J441" s="750" t="str">
        <f>IF(Analysis!I342&gt;4,"! ! !"," ")</f>
        <v> </v>
      </c>
      <c r="K441" s="468"/>
    </row>
    <row r="442" spans="1:11" ht="15.75">
      <c r="A442" s="465"/>
      <c r="B442" s="384" t="s">
        <v>261</v>
      </c>
      <c r="C442" s="385" t="s">
        <v>252</v>
      </c>
      <c r="D442" s="737" t="str">
        <f>IF(E442&gt;4,"! ! !","ok")</f>
        <v>ok</v>
      </c>
      <c r="E442" s="98">
        <f>100*E441/E407/I402</f>
        <v>-12.46663751424521</v>
      </c>
      <c r="F442" s="737" t="e">
        <f>IF(G442&gt;4,"! ! !","ok")</f>
        <v>#VALUE!</v>
      </c>
      <c r="G442" s="98" t="e">
        <f>100*G441/G407/I402</f>
        <v>#VALUE!</v>
      </c>
      <c r="H442" s="737" t="str">
        <f>IF(I442&gt;4,"! ! !","ok")</f>
        <v>ok</v>
      </c>
      <c r="I442" s="98">
        <f>100*I441/I407/I402</f>
        <v>-8.447980244947344</v>
      </c>
      <c r="J442" s="755"/>
      <c r="K442" s="403" t="e">
        <f>IF(AND(AND(D442="ok",F442="ok"),H442="ok"),"","As &gt; 4%")</f>
        <v>#VALUE!</v>
      </c>
    </row>
    <row r="443" spans="1:11" ht="15.75">
      <c r="A443" s="465"/>
      <c r="B443" s="384" t="s">
        <v>262</v>
      </c>
      <c r="C443" s="385" t="s">
        <v>13</v>
      </c>
      <c r="D443" s="738"/>
      <c r="E443" s="94">
        <f>(MAIN!$J$16+2/MAIN!$J$18*E407-2*(MAIN!$J$13+E485)-E440*E439)/(E440-1)</f>
        <v>50.80000000000001</v>
      </c>
      <c r="F443" s="740"/>
      <c r="G443" s="94" t="e">
        <f>IF(G440=1,G444,(MAIN!$J$16+2/MAIN!$J$18*(I401-G407)-2*(MAIN!$J$13+G485)-G440*G439)/(G440-1))</f>
        <v>#VALUE!</v>
      </c>
      <c r="H443" s="740"/>
      <c r="I443" s="94">
        <f>(MAIN!$J$16+2/MAIN!$J$18*I407-2*(MAIN!$J$13+I485)-I440*I439)/(I440-1)</f>
        <v>59.19999999999999</v>
      </c>
      <c r="J443" s="750" t="s">
        <v>263</v>
      </c>
      <c r="K443" s="468"/>
    </row>
    <row r="444" spans="1:11" ht="15.75">
      <c r="A444" s="465"/>
      <c r="B444" s="384" t="s">
        <v>264</v>
      </c>
      <c r="C444" s="385" t="s">
        <v>13</v>
      </c>
      <c r="D444" s="737" t="str">
        <f>IF(E443&lt;E444,"! ! !","ok")</f>
        <v>ok</v>
      </c>
      <c r="E444" s="94">
        <f>MAX(E439,MAIN!$F$11+5)</f>
        <v>25</v>
      </c>
      <c r="F444" s="737" t="e">
        <f>IF(G443&lt;G444,"! ! !","ok")</f>
        <v>#VALUE!</v>
      </c>
      <c r="G444" s="94">
        <f>MAX(G439,MAIN!$F$11+5)</f>
        <v>25</v>
      </c>
      <c r="H444" s="737" t="str">
        <f>IF(I443&lt;I444,"! ! !","ok")</f>
        <v>ok</v>
      </c>
      <c r="I444" s="94">
        <f>MAX(I439,MAIN!$F$11+5)</f>
        <v>25</v>
      </c>
      <c r="J444" s="750" t="s">
        <v>265</v>
      </c>
      <c r="K444" s="403" t="e">
        <f>IF(AND(AND(D444="ok",F444="ok"),H444="ok"),"","Min spacing fails")</f>
        <v>#VALUE!</v>
      </c>
    </row>
    <row r="445" spans="1:11" ht="15.75">
      <c r="A445" s="465"/>
      <c r="B445" s="384" t="s">
        <v>266</v>
      </c>
      <c r="C445" s="385" t="s">
        <v>13</v>
      </c>
      <c r="D445" s="737" t="str">
        <f>IF(E443&gt;E445,"! ! !","ok")</f>
        <v>ok</v>
      </c>
      <c r="E445" s="94">
        <f>E347</f>
        <v>152.17391304347825</v>
      </c>
      <c r="F445" s="737" t="e">
        <f>IF(G443&gt;G445,"! ! !","ok")</f>
        <v>#VALUE!</v>
      </c>
      <c r="G445" s="94" t="e">
        <f>MIN(47000/G470,300)</f>
        <v>#VALUE!</v>
      </c>
      <c r="H445" s="737" t="str">
        <f>IF(I443&gt;I445,"! ! !","ok")</f>
        <v>ok</v>
      </c>
      <c r="I445" s="94">
        <f>I347</f>
        <v>152.17391304347825</v>
      </c>
      <c r="J445" s="750" t="s">
        <v>267</v>
      </c>
      <c r="K445" s="403" t="e">
        <f>IF(AND(AND(D445="ok",F445="ok"),H445="ok"),"","Max spacing fails")</f>
        <v>#VALUE!</v>
      </c>
    </row>
    <row r="446" spans="1:11" ht="15.75">
      <c r="A446" s="465"/>
      <c r="B446" s="477" t="s">
        <v>369</v>
      </c>
      <c r="C446" s="385"/>
      <c r="D446" s="396"/>
      <c r="E446" s="94"/>
      <c r="F446" s="396"/>
      <c r="G446" s="94"/>
      <c r="H446" s="396"/>
      <c r="I446" s="94"/>
      <c r="J446" s="750"/>
      <c r="K446" s="468"/>
    </row>
    <row r="447" spans="1:11" ht="15.75">
      <c r="A447" s="465"/>
      <c r="B447" s="384" t="s">
        <v>370</v>
      </c>
      <c r="C447" s="385" t="s">
        <v>252</v>
      </c>
      <c r="D447" s="396"/>
      <c r="E447" s="97">
        <f>E349</f>
        <v>0.0026</v>
      </c>
      <c r="F447" s="396"/>
      <c r="G447" s="97"/>
      <c r="H447" s="396"/>
      <c r="I447" s="97">
        <f>E447</f>
        <v>0.0026</v>
      </c>
      <c r="J447" s="750"/>
      <c r="K447" s="468"/>
    </row>
    <row r="448" spans="1:11" ht="15.75">
      <c r="A448" s="465"/>
      <c r="B448" s="384" t="s">
        <v>371</v>
      </c>
      <c r="C448" s="385" t="s">
        <v>109</v>
      </c>
      <c r="D448" s="396"/>
      <c r="E448" s="96" t="e">
        <f>MAX(0,MAX(E420,E437,E423)-E441)</f>
        <v>#VALUE!</v>
      </c>
      <c r="F448" s="479"/>
      <c r="G448" s="96"/>
      <c r="H448" s="479"/>
      <c r="I448" s="96" t="e">
        <f>MAX(0,MAX(I420,I437,I423)-I441)</f>
        <v>#VALUE!</v>
      </c>
      <c r="J448" s="750"/>
      <c r="K448" s="468"/>
    </row>
    <row r="449" spans="1:11" ht="15.75">
      <c r="A449" s="465"/>
      <c r="B449" s="384" t="s">
        <v>372</v>
      </c>
      <c r="C449" s="385" t="s">
        <v>13</v>
      </c>
      <c r="D449" s="396"/>
      <c r="E449" s="96" t="e">
        <f>HLOOKUP(SQRT(4*E448/M450/PI()),L$50:R$51,2)</f>
        <v>#VALUE!</v>
      </c>
      <c r="F449" s="479"/>
      <c r="G449" s="96"/>
      <c r="H449" s="479"/>
      <c r="I449" s="96" t="e">
        <f>HLOOKUP(SQRT(4*I448/N450/PI()),L$50:R$51,2)</f>
        <v>#VALUE!</v>
      </c>
      <c r="J449" s="750"/>
      <c r="K449" s="468"/>
    </row>
    <row r="450" spans="1:14" ht="15.75">
      <c r="A450" s="465"/>
      <c r="B450" s="384" t="s">
        <v>136</v>
      </c>
      <c r="C450" s="385"/>
      <c r="D450" s="396"/>
      <c r="E450" s="96" t="e">
        <f>MAX(M450,CEILING(E448/PI()*4/E449^2,1))</f>
        <v>#VALUE!</v>
      </c>
      <c r="F450" s="479"/>
      <c r="G450" s="96"/>
      <c r="H450" s="479"/>
      <c r="I450" s="96" t="e">
        <f>MAX(N450,CEILING(I448/PI()*4/I449^2,1))</f>
        <v>#VALUE!</v>
      </c>
      <c r="J450" s="750"/>
      <c r="K450" s="468"/>
      <c r="L450" s="478" t="s">
        <v>373</v>
      </c>
      <c r="M450" s="478">
        <f>MAX(CEILING((MAIN!$J$17-(E443+E439)*(E440-1))/(E445+E439),1)-1,1)</f>
        <v>4</v>
      </c>
      <c r="N450" s="478">
        <f>MAX(CEILING((MAIN!$J$17-(I443+I439)*(I440-1))/(I445+I439),1)-1,1)</f>
        <v>4</v>
      </c>
    </row>
    <row r="451" spans="1:11" ht="15.75">
      <c r="A451" s="465"/>
      <c r="B451" s="384" t="s">
        <v>112</v>
      </c>
      <c r="C451" s="385" t="s">
        <v>109</v>
      </c>
      <c r="D451" s="396"/>
      <c r="E451" s="96">
        <f>IF(G401=0,0,PI()/4*E449^2*E450)</f>
        <v>0</v>
      </c>
      <c r="F451" s="396"/>
      <c r="G451" s="94"/>
      <c r="H451" s="396"/>
      <c r="I451" s="96" t="e">
        <f>PI()/4*I449^2*I450</f>
        <v>#VALUE!</v>
      </c>
      <c r="J451" s="750"/>
      <c r="K451" s="468"/>
    </row>
    <row r="452" spans="1:11" ht="15.75">
      <c r="A452" s="465"/>
      <c r="B452" s="382" t="s">
        <v>268</v>
      </c>
      <c r="C452" s="394"/>
      <c r="D452" s="386"/>
      <c r="E452" s="93"/>
      <c r="F452" s="386"/>
      <c r="G452" s="93"/>
      <c r="H452" s="386"/>
      <c r="I452" s="93"/>
      <c r="J452" s="750"/>
      <c r="K452" s="468"/>
    </row>
    <row r="453" spans="1:11" ht="15.75">
      <c r="A453" s="465"/>
      <c r="B453" s="384" t="s">
        <v>269</v>
      </c>
      <c r="C453" s="385" t="s">
        <v>109</v>
      </c>
      <c r="D453" s="386"/>
      <c r="E453" s="96" t="e">
        <f>MAX(IF(E406=0,0.5,0.3)*$G441,IF(E432=0,0,MAX(E418,E433,0.002*I402*I401)))</f>
        <v>#VALUE!</v>
      </c>
      <c r="F453" s="386"/>
      <c r="G453" s="96" t="e">
        <f>MAX(G418,G435,IF(G417=0,0,0.004*I401*G408),IF(G435=0,0,IF(MAIN!C$12&lt;425,0.0024,0.0013)*I402*I401))</f>
        <v>#VALUE!</v>
      </c>
      <c r="H453" s="386"/>
      <c r="I453" s="96" t="e">
        <f>MAX(IF(I406=0,0.5,0.3)*$G441,IF(I432=0,0,MAX(I418,I433,0.002*I402*I401)))</f>
        <v>#VALUE!</v>
      </c>
      <c r="J453" s="750" t="s">
        <v>323</v>
      </c>
      <c r="K453" s="468"/>
    </row>
    <row r="454" spans="1:11" ht="15.75">
      <c r="A454" s="465"/>
      <c r="B454" s="384" t="s">
        <v>260</v>
      </c>
      <c r="C454" s="385" t="s">
        <v>13</v>
      </c>
      <c r="D454" s="737" t="str">
        <f>IF(MIN(MAIN!$J$12,MAIN!$J$13)+E485&lt;E454,"! ! !","ok")</f>
        <v>ok</v>
      </c>
      <c r="E454" s="80">
        <f>SPANS!F113</f>
        <v>16</v>
      </c>
      <c r="F454" s="737" t="str">
        <f>IF(MAIN!$J$11+G485&lt;G454,"! ! !","ok")</f>
        <v>ok</v>
      </c>
      <c r="G454" s="80">
        <f>SPANS!I110</f>
        <v>12</v>
      </c>
      <c r="H454" s="737" t="str">
        <f>IF(MIN(MAIN!$J$12,MAIN!$J$13)+I485&lt;I454,"! ! !","ok")</f>
        <v>ok</v>
      </c>
      <c r="I454" s="80">
        <f>SPANS!L113</f>
        <v>20</v>
      </c>
      <c r="J454" s="750"/>
      <c r="K454" s="403" t="str">
        <f>IF(AND(AND(D454="ok",F454="ok"),H454="ok"),"","Inadequate Cover")</f>
        <v></v>
      </c>
    </row>
    <row r="455" spans="1:11" ht="15.75">
      <c r="A455" s="465"/>
      <c r="B455" s="384" t="s">
        <v>136</v>
      </c>
      <c r="C455" s="385"/>
      <c r="D455" s="738"/>
      <c r="E455" s="80" t="e">
        <f>MAX(1,CEILING(E453/PI()*4/E454^2,1))</f>
        <v>#VALUE!</v>
      </c>
      <c r="F455" s="738"/>
      <c r="G455" s="80" t="e">
        <f>IF(G454=0,0,MAX(1,CEILING(G453/PI()*4/G454^2,1)))</f>
        <v>#VALUE!</v>
      </c>
      <c r="H455" s="738"/>
      <c r="I455" s="80" t="e">
        <f>MAX(1,CEILING(I453/PI()*4/I454^2,1))</f>
        <v>#VALUE!</v>
      </c>
      <c r="J455" s="750"/>
      <c r="K455" s="468"/>
    </row>
    <row r="456" spans="1:11" ht="15.75">
      <c r="A456" s="465"/>
      <c r="B456" s="384" t="s">
        <v>114</v>
      </c>
      <c r="C456" s="385" t="s">
        <v>109</v>
      </c>
      <c r="D456" s="738"/>
      <c r="E456" s="96" t="e">
        <f>PI()/4*E454^2*E455</f>
        <v>#VALUE!</v>
      </c>
      <c r="F456" s="738"/>
      <c r="G456" s="96" t="e">
        <f>PI()/4*G454^2*G455</f>
        <v>#VALUE!</v>
      </c>
      <c r="H456" s="738"/>
      <c r="I456" s="96" t="e">
        <f>PI()/4*I454^2*I455</f>
        <v>#VALUE!</v>
      </c>
      <c r="J456" s="750"/>
      <c r="K456" s="468"/>
    </row>
    <row r="457" spans="1:11" ht="15.75">
      <c r="A457" s="465"/>
      <c r="B457" s="384" t="s">
        <v>261</v>
      </c>
      <c r="C457" s="385" t="s">
        <v>252</v>
      </c>
      <c r="D457" s="737" t="e">
        <f>IF(E457&gt;4,"! ! !","ok")</f>
        <v>#VALUE!</v>
      </c>
      <c r="E457" s="99" t="e">
        <f>100*E456/E407/I402</f>
        <v>#VALUE!</v>
      </c>
      <c r="F457" s="737" t="e">
        <f>IF(G457&gt;4,"! ! !","ok")</f>
        <v>#VALUE!</v>
      </c>
      <c r="G457" s="99" t="e">
        <f>100*G456/G407/I402</f>
        <v>#VALUE!</v>
      </c>
      <c r="H457" s="737" t="e">
        <f>IF(I457&gt;4,"! ! !","ok")</f>
        <v>#VALUE!</v>
      </c>
      <c r="I457" s="99" t="e">
        <f>100*I456/I407/I402</f>
        <v>#VALUE!</v>
      </c>
      <c r="J457" s="750" t="s">
        <v>445</v>
      </c>
      <c r="K457" s="403" t="e">
        <f>IF(AND(AND(D457="ok",F457="ok"),H457="ok"),"","As &gt; 4%")</f>
        <v>#VALUE!</v>
      </c>
    </row>
    <row r="458" spans="1:11" ht="15.75">
      <c r="A458" s="465"/>
      <c r="B458" s="384" t="s">
        <v>262</v>
      </c>
      <c r="C458" s="385" t="s">
        <v>13</v>
      </c>
      <c r="D458" s="738"/>
      <c r="E458" s="94" t="e">
        <f>IF(E455&lt;2,0,(MAIN!$J$16+2/MAIN!$J$18*E415-2*(MAIN!$J$13+E485)-E454*E455)/(E455-1))</f>
        <v>#VALUE!</v>
      </c>
      <c r="F458" s="738"/>
      <c r="G458" s="94" t="e">
        <f>IF(G455&lt;2,0,(MAIN!$J$16+2/MAIN!$J$18*(I401-G415)-2*(MAIN!$J$13+G485)-G454*G455)/(G455-1))</f>
        <v>#VALUE!</v>
      </c>
      <c r="H458" s="738"/>
      <c r="I458" s="94" t="e">
        <f>IF(I455&lt;2,0,(MAIN!$J$16+2/MAIN!$J$18*I415-2*(MAIN!$J$13+I485)-I454*I455)/(I455-1))</f>
        <v>#VALUE!</v>
      </c>
      <c r="J458" s="750" t="s">
        <v>263</v>
      </c>
      <c r="K458" s="468"/>
    </row>
    <row r="459" spans="1:11" ht="15.75">
      <c r="A459" s="465"/>
      <c r="B459" s="384" t="s">
        <v>264</v>
      </c>
      <c r="C459" s="385" t="s">
        <v>13</v>
      </c>
      <c r="D459" s="737" t="e">
        <f>IF(E458&lt;E459,"! ! !","ok")</f>
        <v>#VALUE!</v>
      </c>
      <c r="E459" s="94" t="e">
        <f>IF(E455&lt;2,0,MAX(E454,MAIN!$F$11+5))</f>
        <v>#VALUE!</v>
      </c>
      <c r="F459" s="737" t="e">
        <f>IF(G458&lt;G459,"! ! !","ok")</f>
        <v>#VALUE!</v>
      </c>
      <c r="G459" s="94" t="e">
        <f>IF(G455&lt;2,0,MAX(G454,MAIN!$F$11+5))</f>
        <v>#VALUE!</v>
      </c>
      <c r="H459" s="737" t="e">
        <f>IF(I458&lt;I459,"! ! !","ok")</f>
        <v>#VALUE!</v>
      </c>
      <c r="I459" s="94" t="e">
        <f>IF(I455&lt;2,0,MAX(I454,MAIN!$F$11+5))</f>
        <v>#VALUE!</v>
      </c>
      <c r="J459" s="750" t="s">
        <v>265</v>
      </c>
      <c r="K459" s="403" t="e">
        <f>IF(AND(AND(D459="ok",F459="ok"),H459="ok"),"","Min spacing fails")</f>
        <v>#VALUE!</v>
      </c>
    </row>
    <row r="460" spans="1:11" ht="15.75">
      <c r="A460" s="465"/>
      <c r="B460" s="384"/>
      <c r="C460" s="385"/>
      <c r="D460" s="396"/>
      <c r="E460" s="671"/>
      <c r="F460" s="396"/>
      <c r="G460" s="671"/>
      <c r="H460" s="396"/>
      <c r="I460" s="671"/>
      <c r="J460" s="750"/>
      <c r="K460" s="403"/>
    </row>
    <row r="461" spans="1:11" ht="16.5" thickBot="1">
      <c r="A461" s="465"/>
      <c r="B461" s="400"/>
      <c r="C461" s="401"/>
      <c r="D461" s="402"/>
      <c r="E461" s="401"/>
      <c r="F461" s="402"/>
      <c r="G461" s="401"/>
      <c r="H461" s="402"/>
      <c r="I461" s="401"/>
      <c r="J461" s="749"/>
      <c r="K461" s="403"/>
    </row>
    <row r="462" spans="1:11" ht="17.25" thickBot="1" thickTop="1">
      <c r="A462" s="465"/>
      <c r="B462" s="675"/>
      <c r="C462" s="676"/>
      <c r="D462" s="677"/>
      <c r="E462" s="678"/>
      <c r="F462" s="677"/>
      <c r="G462" s="678"/>
      <c r="H462" s="677"/>
      <c r="I462" s="678"/>
      <c r="J462" s="751"/>
      <c r="K462" s="403"/>
    </row>
    <row r="463" spans="1:11" ht="18">
      <c r="A463" s="465"/>
      <c r="B463" s="539" t="str">
        <f>B$2</f>
        <v> Project</v>
      </c>
      <c r="C463" s="540" t="str">
        <f>C$2</f>
        <v>Spreadsheets to BS 8110</v>
      </c>
      <c r="D463" s="542"/>
      <c r="E463" s="542"/>
      <c r="F463" s="542"/>
      <c r="G463" s="541"/>
      <c r="H463" s="542"/>
      <c r="I463" s="542"/>
      <c r="J463" s="753"/>
      <c r="K463" s="403"/>
    </row>
    <row r="464" spans="1:11" ht="18">
      <c r="A464" s="465"/>
      <c r="B464" s="543" t="str">
        <f>B$3</f>
        <v> Location</v>
      </c>
      <c r="C464" s="544" t="str">
        <f>C$3</f>
        <v>3rd Floor slab,  from 1 to 5a</v>
      </c>
      <c r="D464" s="545"/>
      <c r="E464" s="545"/>
      <c r="F464" s="545"/>
      <c r="G464" s="736" t="s">
        <v>416</v>
      </c>
      <c r="H464" s="545"/>
      <c r="I464" s="545"/>
      <c r="J464" s="754"/>
      <c r="K464" s="403"/>
    </row>
    <row r="465" spans="1:11" ht="15.75">
      <c r="A465" s="465"/>
      <c r="B465" s="546"/>
      <c r="C465" s="547" t="str">
        <f>C$4</f>
        <v>RIBBED SLABS to BS 8110:1997 (Analysis &amp; Design)</v>
      </c>
      <c r="D465" s="545"/>
      <c r="E465" s="545"/>
      <c r="F465" s="545"/>
      <c r="G465" s="122"/>
      <c r="H465" s="122"/>
      <c r="I465" s="122"/>
      <c r="J465" s="766" t="str">
        <f>J$4</f>
        <v>Made by  rmw    Job No  R68</v>
      </c>
      <c r="K465" s="403"/>
    </row>
    <row r="466" spans="1:11" ht="16.5" thickBot="1">
      <c r="A466" s="465"/>
      <c r="B466" s="549"/>
      <c r="C466" s="550" t="str">
        <f>C$5</f>
        <v>Originated from  RCC32.xls v2.2 on CD               © 2000-2003 BCA for RCC</v>
      </c>
      <c r="D466" s="552"/>
      <c r="E466" s="552"/>
      <c r="F466" s="552"/>
      <c r="G466" s="551"/>
      <c r="H466" s="551"/>
      <c r="I466" s="553" t="str">
        <f>I$5</f>
        <v> Date</v>
      </c>
      <c r="J466" s="767">
        <f>J$5</f>
        <v>39305</v>
      </c>
      <c r="K466" s="403"/>
    </row>
    <row r="467" spans="1:11" ht="15.75">
      <c r="A467" s="465"/>
      <c r="B467" s="384" t="s">
        <v>417</v>
      </c>
      <c r="C467" s="385"/>
      <c r="D467" s="396"/>
      <c r="E467" s="385"/>
      <c r="F467" s="385"/>
      <c r="G467" s="385"/>
      <c r="H467" s="385"/>
      <c r="I467" s="640"/>
      <c r="J467" s="748"/>
      <c r="K467" s="403"/>
    </row>
    <row r="468" spans="1:11" ht="15.75">
      <c r="A468" s="465"/>
      <c r="B468" s="384"/>
      <c r="C468" s="385"/>
      <c r="D468" s="396"/>
      <c r="E468" s="673"/>
      <c r="F468" s="385"/>
      <c r="G468" s="673"/>
      <c r="H468" s="385"/>
      <c r="I468" s="674"/>
      <c r="J468" s="750"/>
      <c r="K468" s="403"/>
    </row>
    <row r="469" spans="1:11" ht="15.75">
      <c r="A469" s="465"/>
      <c r="B469" s="382" t="s">
        <v>270</v>
      </c>
      <c r="C469" s="394"/>
      <c r="D469" s="386"/>
      <c r="E469" s="93"/>
      <c r="F469" s="386"/>
      <c r="G469" s="93"/>
      <c r="H469" s="386"/>
      <c r="I469" s="761"/>
      <c r="J469" s="750"/>
      <c r="K469" s="468"/>
    </row>
    <row r="470" spans="1:11" ht="15.75">
      <c r="A470" s="465"/>
      <c r="B470" s="384" t="s">
        <v>271</v>
      </c>
      <c r="C470" s="385" t="s">
        <v>11</v>
      </c>
      <c r="D470" s="386"/>
      <c r="E470" s="94" t="e">
        <f>MAX(0.00001,2/3*MAIN!$C$12*E420/(E441+E451)/E404)</f>
        <v>#VALUE!</v>
      </c>
      <c r="F470" s="390"/>
      <c r="G470" s="94" t="e">
        <f>MAX(0.00001,2/3*MAIN!$C$12*G420/G441/G404)</f>
        <v>#VALUE!</v>
      </c>
      <c r="H470" s="390"/>
      <c r="I470" s="94" t="e">
        <f>MAX(1,2/3*MAIN!$C$12*I420/(I441+I451)/I404)</f>
        <v>#VALUE!</v>
      </c>
      <c r="J470" s="750" t="s">
        <v>327</v>
      </c>
      <c r="K470" s="468"/>
    </row>
    <row r="471" spans="1:11" ht="15.75">
      <c r="A471" s="465"/>
      <c r="B471" s="384" t="s">
        <v>272</v>
      </c>
      <c r="C471" s="385"/>
      <c r="D471" s="386"/>
      <c r="E471" s="93">
        <f>7*IF(G401&gt;10,10/G401,1)</f>
        <v>7</v>
      </c>
      <c r="F471" s="386"/>
      <c r="G471" s="93">
        <f>MAX(IF(SPANS!S$2=1,16,20.8),IF(SPANS!S$2=1,20,26)-5.2/0.7*(1-G421))*IF(G401&gt;10,10/G401,1)</f>
        <v>20.8</v>
      </c>
      <c r="H471" s="386"/>
      <c r="I471" s="93"/>
      <c r="J471" s="750" t="s">
        <v>273</v>
      </c>
      <c r="K471" s="468"/>
    </row>
    <row r="472" spans="1:11" ht="15.75">
      <c r="A472" s="465"/>
      <c r="B472" s="384" t="s">
        <v>274</v>
      </c>
      <c r="C472" s="385"/>
      <c r="D472" s="386"/>
      <c r="E472" s="93" t="e">
        <f>MIN(0.55+(477-E470)/120/(0.9+MAIN!C$11*E412),2)</f>
        <v>#VALUE!</v>
      </c>
      <c r="F472" s="386"/>
      <c r="G472" s="93" t="e">
        <f>MIN(0.55+(477-G470)/120/(0.9+MAIN!C$11*G412),2)</f>
        <v>#VALUE!</v>
      </c>
      <c r="H472" s="386"/>
      <c r="I472" s="93"/>
      <c r="J472" s="750" t="s">
        <v>325</v>
      </c>
      <c r="K472" s="468"/>
    </row>
    <row r="473" spans="1:11" ht="15.75">
      <c r="A473" s="465"/>
      <c r="B473" s="384" t="s">
        <v>276</v>
      </c>
      <c r="C473" s="385"/>
      <c r="D473" s="386"/>
      <c r="E473" s="93">
        <v>1</v>
      </c>
      <c r="F473" s="386"/>
      <c r="G473" s="93" t="e">
        <f>MIN(1.5,1+100*G456/G407/G408/(3+100*G456/G407/G408))</f>
        <v>#VALUE!</v>
      </c>
      <c r="H473" s="386"/>
      <c r="I473" s="93"/>
      <c r="J473" s="750" t="s">
        <v>275</v>
      </c>
      <c r="K473" s="468"/>
    </row>
    <row r="474" spans="1:11" ht="15.75">
      <c r="A474" s="465"/>
      <c r="B474" s="384" t="s">
        <v>277</v>
      </c>
      <c r="C474" s="385"/>
      <c r="D474" s="683" t="str">
        <f>IF(AND(MAIN!I$22=6,MAIN!J$22="C"),"Cant","-")</f>
        <v>-</v>
      </c>
      <c r="E474" s="682">
        <f>IF(LEFT(D474,1)="C",E471*E472*E473*IF(MAIN!C$14&lt;20,0.85,1),0)</f>
        <v>0</v>
      </c>
      <c r="F474" s="386"/>
      <c r="G474" s="93" t="e">
        <f>IF(LEFT(D474,1)="C",0,G471*G472*G473*IF(MAIN!C$14&lt;20,0.85,1))</f>
        <v>#VALUE!</v>
      </c>
      <c r="H474" s="386"/>
      <c r="I474" s="93"/>
      <c r="J474" s="750" t="s">
        <v>278</v>
      </c>
      <c r="K474" s="468"/>
    </row>
    <row r="475" spans="1:11" ht="15.75">
      <c r="A475" s="465"/>
      <c r="B475" s="384" t="s">
        <v>279</v>
      </c>
      <c r="C475" s="385"/>
      <c r="D475" s="741" t="str">
        <f>IF(E475&gt;E474,"! ! !","ok")</f>
        <v>ok</v>
      </c>
      <c r="E475" s="93">
        <f>IF(LEFT(D474,1)="C",1000*G401/E407,0)</f>
        <v>0</v>
      </c>
      <c r="F475" s="737" t="e">
        <f>IF(G475&gt;G474,"! ! !","ok")</f>
        <v>#VALUE!</v>
      </c>
      <c r="G475" s="93">
        <f>IF(LEFT(D474,1)="C",0,1000*G401/G407)</f>
        <v>0</v>
      </c>
      <c r="H475" s="396"/>
      <c r="I475" s="93"/>
      <c r="J475" s="750" t="s">
        <v>280</v>
      </c>
      <c r="K475" s="403" t="e">
        <f>IF(AND(D475="ok",F475="ok"),"","Deflection failure")</f>
        <v>#VALUE!</v>
      </c>
    </row>
    <row r="476" spans="1:11" ht="15.75">
      <c r="A476" s="465"/>
      <c r="B476" s="384" t="s">
        <v>281</v>
      </c>
      <c r="C476" s="385" t="s">
        <v>252</v>
      </c>
      <c r="D476" s="386"/>
      <c r="E476" s="93">
        <f>IF(LEFT(D474,1)="C",MAX(0,(2/3*MAIN!$C$12*E420/(477-120*(MIN(2,E475/(E471*E473*IF(MAIN!C$14&lt;20,0.85,1)))-0.55)*(0.9+MAIN!C$11*E412))/E404)/E420-1),0)</f>
        <v>0</v>
      </c>
      <c r="F476" s="386"/>
      <c r="G476" s="93" t="e">
        <f>IF(LEFT(D474,1)="C",0,MAX(0,(2/3*MAIN!$C$12*G420/(477-120*(MIN(2,G475/(G471*G473*IF(MAIN!C$14&lt;20,0.85,1)))-0.55)*(0.9+MAIN!C$11*G412))/G404)/G420-1))</f>
        <v>#VALUE!</v>
      </c>
      <c r="H476" s="386"/>
      <c r="I476" s="93"/>
      <c r="J476" s="750"/>
      <c r="K476" s="468"/>
    </row>
    <row r="477" spans="1:11" ht="15.75">
      <c r="A477" s="465"/>
      <c r="B477" s="397"/>
      <c r="C477" s="394"/>
      <c r="D477" s="386"/>
      <c r="E477" s="93"/>
      <c r="F477" s="386"/>
      <c r="G477" s="93"/>
      <c r="H477" s="386"/>
      <c r="I477" s="93"/>
      <c r="J477" s="750"/>
      <c r="K477" s="468"/>
    </row>
    <row r="478" spans="1:11" ht="15.75">
      <c r="A478" s="465"/>
      <c r="B478" s="382" t="s">
        <v>282</v>
      </c>
      <c r="C478" s="122"/>
      <c r="D478" s="386"/>
      <c r="E478" s="632"/>
      <c r="F478" s="387"/>
      <c r="G478" s="100"/>
      <c r="H478" s="387"/>
      <c r="I478" s="632"/>
      <c r="J478" s="750"/>
      <c r="K478" s="468"/>
    </row>
    <row r="479" spans="1:11" ht="15.75">
      <c r="A479" s="465"/>
      <c r="B479" s="384" t="s">
        <v>328</v>
      </c>
      <c r="C479" s="385" t="s">
        <v>71</v>
      </c>
      <c r="D479" s="398"/>
      <c r="E479" s="92">
        <f>MAX(Analysis!D256:D258)</f>
        <v>0</v>
      </c>
      <c r="F479" s="399"/>
      <c r="G479" s="101"/>
      <c r="H479" s="399"/>
      <c r="I479" s="92">
        <f>MAX(Analysis!J256:J258)</f>
        <v>0</v>
      </c>
      <c r="J479" s="755"/>
      <c r="K479" s="468"/>
    </row>
    <row r="480" spans="1:11" ht="15.75">
      <c r="A480" s="465"/>
      <c r="B480" s="384" t="s">
        <v>332</v>
      </c>
      <c r="C480" s="385" t="s">
        <v>283</v>
      </c>
      <c r="D480" s="386"/>
      <c r="E480" s="100">
        <f>MAX(MAIN!E22,E407)/1000</f>
        <v>-0.036</v>
      </c>
      <c r="F480" s="388"/>
      <c r="G480" s="92"/>
      <c r="H480" s="388"/>
      <c r="I480" s="100">
        <f>MAX(MAIN!F22,I407)/1000</f>
        <v>-0.034</v>
      </c>
      <c r="J480" s="750" t="s">
        <v>331</v>
      </c>
      <c r="K480" s="468"/>
    </row>
    <row r="481" spans="1:11" ht="15.75">
      <c r="A481" s="465"/>
      <c r="B481" s="384" t="s">
        <v>284</v>
      </c>
      <c r="C481" s="385" t="s">
        <v>285</v>
      </c>
      <c r="D481" s="386"/>
      <c r="E481" s="93">
        <f>(E479-Analysis!H298*E480-Analysis!H299)*MAIN!$J$17/1000</f>
        <v>0</v>
      </c>
      <c r="F481" s="386"/>
      <c r="G481" s="93"/>
      <c r="H481" s="386"/>
      <c r="I481" s="93">
        <f>(I479-Analysis!H298*I480-Analysis!H300)*MAIN!$J$17/1000</f>
        <v>0</v>
      </c>
      <c r="J481" s="750"/>
      <c r="K481" s="468"/>
    </row>
    <row r="482" spans="1:11" ht="15.75">
      <c r="A482" s="465"/>
      <c r="B482" s="384" t="s">
        <v>117</v>
      </c>
      <c r="C482" s="385" t="s">
        <v>11</v>
      </c>
      <c r="D482" s="386"/>
      <c r="E482" s="95">
        <f>1000*E481/$I402/E407</f>
        <v>0</v>
      </c>
      <c r="F482" s="386"/>
      <c r="G482" s="95"/>
      <c r="H482" s="386"/>
      <c r="I482" s="95">
        <f>1000*I481/$I402/I407</f>
        <v>0</v>
      </c>
      <c r="J482" s="750" t="s">
        <v>326</v>
      </c>
      <c r="K482" s="468"/>
    </row>
    <row r="483" spans="1:11" ht="15.75">
      <c r="A483" s="465"/>
      <c r="B483" s="384" t="s">
        <v>118</v>
      </c>
      <c r="C483" s="385" t="s">
        <v>11</v>
      </c>
      <c r="D483" s="386"/>
      <c r="E483" s="95" t="e">
        <f>0.632*MAX(1,400/E407)^0.25*MIN(3,100*MAX(E441,E456)/$I402/E407)^0.3333333*(MIN(MAIN!$C$11,40)/25)^0.3333333*IF(MAIN!$C$14&lt;20,0.8,1)</f>
        <v>#VALUE!</v>
      </c>
      <c r="F483" s="386"/>
      <c r="G483" s="95" t="str">
        <f>G376</f>
        <v>NOMINAL</v>
      </c>
      <c r="H483" s="386"/>
      <c r="I483" s="95" t="e">
        <f>0.632*MAX(1,400/I407)^0.25*MIN(3,100*MAX(I441,I456)/$I402/I407)^0.3333333*(MIN(MAIN!$C$11,40)/25)^0.3333333*IF(MAIN!$C$14&lt;20,0.8,1)</f>
        <v>#VALUE!</v>
      </c>
      <c r="J483" s="750" t="s">
        <v>287</v>
      </c>
      <c r="K483" s="468"/>
    </row>
    <row r="484" spans="1:11" ht="15.75">
      <c r="A484" s="465"/>
      <c r="B484" s="384" t="s">
        <v>329</v>
      </c>
      <c r="C484" s="385" t="s">
        <v>286</v>
      </c>
      <c r="D484" s="386"/>
      <c r="E484" s="94" t="e">
        <f>MAX(0.4,E482-E483)*$I402</f>
        <v>#VALUE!</v>
      </c>
      <c r="F484" s="390"/>
      <c r="G484" s="94">
        <f>L$87*I402</f>
        <v>0.00014</v>
      </c>
      <c r="H484" s="390"/>
      <c r="I484" s="94" t="e">
        <f>MAX(0.4,I482-I483)*$I402</f>
        <v>#VALUE!</v>
      </c>
      <c r="J484" s="750" t="s">
        <v>324</v>
      </c>
      <c r="K484" s="468"/>
    </row>
    <row r="485" spans="1:11" ht="15.75">
      <c r="A485" s="465"/>
      <c r="B485" s="384" t="s">
        <v>119</v>
      </c>
      <c r="C485" s="385" t="s">
        <v>13</v>
      </c>
      <c r="D485" s="386"/>
      <c r="E485" s="80">
        <f>SPANS!I117</f>
        <v>6</v>
      </c>
      <c r="F485" s="52"/>
      <c r="G485" s="80">
        <f>E485</f>
        <v>6</v>
      </c>
      <c r="H485" s="52"/>
      <c r="I485" s="80">
        <f>E485</f>
        <v>6</v>
      </c>
      <c r="J485" s="750" t="s">
        <v>288</v>
      </c>
      <c r="K485" s="468"/>
    </row>
    <row r="486" spans="1:11" ht="15.75">
      <c r="A486" s="465"/>
      <c r="B486" s="384" t="s">
        <v>289</v>
      </c>
      <c r="C486" s="385" t="s">
        <v>13</v>
      </c>
      <c r="D486" s="386"/>
      <c r="E486" s="96" t="e">
        <f>FLOOR(MIN(0.75*E407,0.75*G407,PI()/2*E485^2*MAIN!$C$13/MAIN!$F$12/E484,IF(E433&gt;0,12*E454,600)),5)</f>
        <v>#VALUE!</v>
      </c>
      <c r="F486" s="386"/>
      <c r="G486" s="96">
        <f>K13</f>
        <v>1200</v>
      </c>
      <c r="H486" s="386"/>
      <c r="I486" s="96" t="e">
        <f>FLOOR(MIN(0.75*I407,0.75*G407,PI()/2*I485^2*MAIN!$C$13/MAIN!$F$12/I484,IF(I433&gt;0,12*I454,600)),5)</f>
        <v>#VALUE!</v>
      </c>
      <c r="J486" s="750" t="s">
        <v>290</v>
      </c>
      <c r="K486" s="468"/>
    </row>
    <row r="487" spans="1:11" ht="15.75">
      <c r="A487" s="465"/>
      <c r="B487" s="384" t="s">
        <v>291</v>
      </c>
      <c r="C487" s="385" t="s">
        <v>13</v>
      </c>
      <c r="D487" s="386"/>
      <c r="E487" s="80" t="e">
        <f>CEILING(MAX(0,(1000*E481-E483*$I402*E407)/Analysis!$F256),E486)</f>
        <v>#VALUE!</v>
      </c>
      <c r="F487" s="386"/>
      <c r="G487" s="80" t="e">
        <f>CEILING(MAX(0,1000*(G401-E480-I480)-50-E487-I487-2*G486),G486)</f>
        <v>#VALUE!</v>
      </c>
      <c r="H487" s="386"/>
      <c r="I487" s="80" t="e">
        <f>CEILING(MAX(0,(1000*I481-I483*$I402*I407)/Analysis!$F256),I486)</f>
        <v>#VALUE!</v>
      </c>
      <c r="J487" s="750" t="s">
        <v>292</v>
      </c>
      <c r="K487" s="468"/>
    </row>
    <row r="488" spans="1:11" ht="15.75">
      <c r="A488" s="465"/>
      <c r="B488" s="384" t="s">
        <v>293</v>
      </c>
      <c r="C488" s="385" t="s">
        <v>13</v>
      </c>
      <c r="D488" s="396"/>
      <c r="E488" s="18"/>
      <c r="F488" s="737" t="e">
        <f>IF(G488&gt;MIN(G407,150),"! ! !","ok")</f>
        <v>#VALUE!</v>
      </c>
      <c r="G488" s="80" t="e">
        <f>INT(CEILING(G440-1,1)/2)*(G443+G439)</f>
        <v>#VALUE!</v>
      </c>
      <c r="H488" s="390"/>
      <c r="I488" s="18"/>
      <c r="J488" s="750" t="s">
        <v>294</v>
      </c>
      <c r="K488" s="403" t="e">
        <f>IF(F488="ok","","Too far from link")</f>
        <v>#VALUE!</v>
      </c>
    </row>
    <row r="489" spans="1:11" ht="15.75">
      <c r="A489" s="465"/>
      <c r="B489" s="384" t="s">
        <v>295</v>
      </c>
      <c r="C489" s="385" t="s">
        <v>13</v>
      </c>
      <c r="D489" s="737" t="e">
        <f>IF(E489&gt;150,"FAILS","ok")</f>
        <v>#VALUE!</v>
      </c>
      <c r="E489" s="94" t="e">
        <f>INT(CEILING(E455-1,1)/2)*(E458+E454)</f>
        <v>#VALUE!</v>
      </c>
      <c r="F489" s="737" t="e">
        <f>IF(G489&gt;150,"! ! !","ok")</f>
        <v>#VALUE!</v>
      </c>
      <c r="G489" s="94" t="e">
        <f>INT(CEILING(G455-1,1)/2)*(G458+G454)</f>
        <v>#VALUE!</v>
      </c>
      <c r="H489" s="737" t="e">
        <f>IF(I489&gt;150,"FAILS","ok")</f>
        <v>#VALUE!</v>
      </c>
      <c r="I489" s="94" t="e">
        <f>INT(CEILING(I455-1,1)/2)*(I458+I454)</f>
        <v>#VALUE!</v>
      </c>
      <c r="J489" s="750" t="s">
        <v>296</v>
      </c>
      <c r="K489" s="403" t="e">
        <f>IF(AND(AND(H489="ok",F489="ok"),H489="ok"),"","Too far from link")</f>
        <v>#VALUE!</v>
      </c>
    </row>
    <row r="490" spans="1:11" ht="15.75">
      <c r="A490" s="465"/>
      <c r="B490" s="384"/>
      <c r="C490" s="385"/>
      <c r="D490" s="396"/>
      <c r="E490" s="655"/>
      <c r="F490" s="396"/>
      <c r="G490" s="655"/>
      <c r="H490" s="396"/>
      <c r="I490" s="655"/>
      <c r="J490" s="755"/>
      <c r="K490" s="403"/>
    </row>
    <row r="491" spans="1:11" ht="15.75">
      <c r="A491" s="465"/>
      <c r="B491" s="384"/>
      <c r="C491" s="385"/>
      <c r="D491" s="396"/>
      <c r="E491" s="658"/>
      <c r="F491" s="396"/>
      <c r="G491" s="658"/>
      <c r="H491" s="396"/>
      <c r="I491" s="658"/>
      <c r="J491" s="755"/>
      <c r="K491" s="403"/>
    </row>
    <row r="492" spans="1:11" ht="15.75">
      <c r="A492" s="465"/>
      <c r="B492" s="384"/>
      <c r="C492" s="385"/>
      <c r="D492" s="396"/>
      <c r="E492" s="648"/>
      <c r="F492" s="396"/>
      <c r="G492" s="648"/>
      <c r="H492" s="396"/>
      <c r="I492" s="764"/>
      <c r="J492" s="755"/>
      <c r="K492" s="403"/>
    </row>
    <row r="493" spans="1:11" ht="15.75">
      <c r="A493" s="465"/>
      <c r="B493" s="384"/>
      <c r="C493" s="380"/>
      <c r="D493" s="380"/>
      <c r="E493" s="380"/>
      <c r="F493" s="380"/>
      <c r="G493" s="380"/>
      <c r="H493" s="380"/>
      <c r="I493" s="380"/>
      <c r="J493" s="755"/>
      <c r="K493" s="465"/>
    </row>
    <row r="494" spans="1:11" ht="19.5">
      <c r="A494" s="465"/>
      <c r="B494" s="732" t="s">
        <v>226</v>
      </c>
      <c r="C494" s="733"/>
      <c r="D494" s="734" t="s">
        <v>227</v>
      </c>
      <c r="E494" s="735">
        <v>6</v>
      </c>
      <c r="F494" s="635" t="s">
        <v>228</v>
      </c>
      <c r="G494" s="636">
        <f>MAIN!C23</f>
        <v>0</v>
      </c>
      <c r="H494" s="380" t="s">
        <v>229</v>
      </c>
      <c r="I494" s="381">
        <f>MAIN!D23</f>
        <v>0</v>
      </c>
      <c r="J494" s="755"/>
      <c r="K494" s="465"/>
    </row>
    <row r="495" spans="1:11" ht="18">
      <c r="A495" s="465"/>
      <c r="B495" s="376"/>
      <c r="C495" s="377"/>
      <c r="D495" s="694" t="str">
        <f>IF(G494=0,"-  No Span 6","")&amp;"  "&amp;D566</f>
        <v>-  No Span 6  -</v>
      </c>
      <c r="E495" s="379"/>
      <c r="F495" s="379"/>
      <c r="G495" s="379"/>
      <c r="H495" s="380" t="s">
        <v>230</v>
      </c>
      <c r="I495" s="763">
        <f>Analysis!I8</f>
        <v>140</v>
      </c>
      <c r="J495" s="750" t="s">
        <v>231</v>
      </c>
      <c r="K495" s="465"/>
    </row>
    <row r="496" spans="1:11" ht="15.75">
      <c r="A496" s="465"/>
      <c r="B496" s="382" t="s">
        <v>232</v>
      </c>
      <c r="C496" s="377"/>
      <c r="D496" s="383"/>
      <c r="E496" s="474" t="s">
        <v>101</v>
      </c>
      <c r="F496" s="475"/>
      <c r="G496" s="474" t="s">
        <v>227</v>
      </c>
      <c r="H496" s="475"/>
      <c r="I496" s="474" t="s">
        <v>103</v>
      </c>
      <c r="J496" s="750" t="s">
        <v>233</v>
      </c>
      <c r="K496" s="465"/>
    </row>
    <row r="497" spans="1:11" ht="15.75">
      <c r="A497" s="465"/>
      <c r="B497" s="384" t="s">
        <v>106</v>
      </c>
      <c r="C497" s="385"/>
      <c r="D497" s="386"/>
      <c r="E497" s="91" t="str">
        <f>I404</f>
        <v>~</v>
      </c>
      <c r="F497" s="387"/>
      <c r="G497" s="91" t="e">
        <f>ACTIONS!I31</f>
        <v>#VALUE!</v>
      </c>
      <c r="H497" s="387"/>
      <c r="I497" s="91" t="str">
        <f>ACTIONS!J25</f>
        <v>~</v>
      </c>
      <c r="J497" s="759"/>
      <c r="K497" s="466"/>
    </row>
    <row r="498" spans="1:11" ht="15.75">
      <c r="A498" s="465"/>
      <c r="B498" s="384" t="s">
        <v>234</v>
      </c>
      <c r="C498" s="385" t="s">
        <v>87</v>
      </c>
      <c r="D498" s="386"/>
      <c r="E498" s="92" t="str">
        <f>I405</f>
        <v>~</v>
      </c>
      <c r="F498" s="388"/>
      <c r="G498" s="92" t="str">
        <f>ACTIONS!I30</f>
        <v>~</v>
      </c>
      <c r="H498" s="388"/>
      <c r="I498" s="92" t="str">
        <f>ACTIONS!J24</f>
        <v>kNm/m</v>
      </c>
      <c r="J498" s="759"/>
      <c r="K498" s="467"/>
    </row>
    <row r="499" spans="1:11" ht="15.75">
      <c r="A499" s="465"/>
      <c r="B499" s="384" t="s">
        <v>235</v>
      </c>
      <c r="C499" s="385" t="s">
        <v>236</v>
      </c>
      <c r="D499" s="386"/>
      <c r="E499" s="93" t="e">
        <f>MAIN!$J$17/1000*E498</f>
        <v>#VALUE!</v>
      </c>
      <c r="F499" s="386"/>
      <c r="G499" s="93" t="e">
        <f>MAIN!$J$17/1000*G498</f>
        <v>#VALUE!</v>
      </c>
      <c r="H499" s="386"/>
      <c r="I499" s="93" t="e">
        <f>MAIN!$J$17/1000*I498</f>
        <v>#VALUE!</v>
      </c>
      <c r="J499" s="759" t="s">
        <v>237</v>
      </c>
      <c r="K499" s="468"/>
    </row>
    <row r="500" spans="1:11" ht="15.75">
      <c r="A500" s="465"/>
      <c r="B500" s="384" t="s">
        <v>108</v>
      </c>
      <c r="C500" s="385" t="s">
        <v>13</v>
      </c>
      <c r="D500" s="386"/>
      <c r="E500" s="94">
        <f>I494-MAIN!$J$11-E577-E540/2</f>
        <v>-34</v>
      </c>
      <c r="F500" s="386"/>
      <c r="G500" s="94">
        <f>I494-MAIN!$J$12-G577-G540/2</f>
        <v>-34</v>
      </c>
      <c r="H500" s="386"/>
      <c r="I500" s="94">
        <f>I494-MAIN!$J$11-I577-I540/2</f>
        <v>-32</v>
      </c>
      <c r="J500" s="759"/>
      <c r="K500" s="469"/>
    </row>
    <row r="501" spans="1:11" ht="15.75">
      <c r="A501" s="465"/>
      <c r="B501" s="384" t="s">
        <v>238</v>
      </c>
      <c r="C501" s="385" t="s">
        <v>13</v>
      </c>
      <c r="D501" s="386"/>
      <c r="E501" s="80">
        <f>MAIN!J$17</f>
        <v>900</v>
      </c>
      <c r="F501" s="386"/>
      <c r="G501" s="80">
        <f>E501</f>
        <v>900</v>
      </c>
      <c r="H501" s="386"/>
      <c r="I501" s="80">
        <f>G501</f>
        <v>900</v>
      </c>
      <c r="J501" s="759"/>
      <c r="K501" s="470"/>
    </row>
    <row r="502" spans="1:11" ht="15.75">
      <c r="A502" s="465"/>
      <c r="B502" s="384" t="s">
        <v>239</v>
      </c>
      <c r="C502" s="385"/>
      <c r="D502" s="386"/>
      <c r="E502" s="95">
        <f>IF(E497&lt;0.9,0.402*(E497-0.4)-0.18*(E497-0.4)^2*1.5/MAIN!$F$13,0.775*0.45*0.67/MAIN!$F$13)</f>
        <v>0.15577500000000002</v>
      </c>
      <c r="F502" s="389"/>
      <c r="G502" s="95" t="e">
        <f>IF(G497&lt;0.9,0.402*(G497-0.4)-0.18*(G497-0.4)^2*1.5/MAIN!$F$13,0.775*0.45*0.67/MAIN!$F$13)</f>
        <v>#VALUE!</v>
      </c>
      <c r="H502" s="389"/>
      <c r="I502" s="95">
        <f>IF(I497&lt;0.9,0.402*(I497-0.4)-0.18*(I497-0.4)^2*1.5/MAIN!$F$13,0.775*0.45*0.67/MAIN!$F$13)</f>
        <v>0.15577500000000002</v>
      </c>
      <c r="J502" s="750" t="s">
        <v>240</v>
      </c>
      <c r="K502" s="471"/>
    </row>
    <row r="503" spans="1:11" ht="15.75">
      <c r="A503" s="465"/>
      <c r="B503" s="384" t="s">
        <v>321</v>
      </c>
      <c r="C503" s="385" t="s">
        <v>236</v>
      </c>
      <c r="D503" s="386"/>
      <c r="E503" s="93">
        <f>E502*MAIN!$J$16*E500^2*MAIN!$C$11/1000000</f>
        <v>0.9453984750000002</v>
      </c>
      <c r="F503" s="386"/>
      <c r="G503" s="93">
        <f>MIN(E502,I502)*MAIN!$J$16*F517^2*MAIN!$C$11/1000000</f>
        <v>0.9453984750000002</v>
      </c>
      <c r="H503" s="386"/>
      <c r="I503" s="93">
        <f>I502*MAIN!$J$16*I500^2*MAIN!$C$11/1000000</f>
        <v>0.8374464000000001</v>
      </c>
      <c r="J503" s="759" t="s">
        <v>241</v>
      </c>
      <c r="K503" s="468"/>
    </row>
    <row r="504" spans="1:11" ht="15.75">
      <c r="A504" s="465"/>
      <c r="B504" s="384" t="s">
        <v>322</v>
      </c>
      <c r="C504" s="385" t="s">
        <v>236</v>
      </c>
      <c r="D504" s="386"/>
      <c r="E504" s="93">
        <f>E503*E501/MAIN!$J$16</f>
        <v>5.672390850000001</v>
      </c>
      <c r="F504" s="386"/>
      <c r="G504" s="93" t="e">
        <f>MIN(G502*G501*G500^2*MAIN!C$11,0.67*MAIN!C$11/MAIN!F$13*E501*MAIN!J$15*(G500-MAIN!J$15/2))/1000000</f>
        <v>#VALUE!</v>
      </c>
      <c r="H504" s="386"/>
      <c r="I504" s="93">
        <f>I503*I501/MAIN!$J$16</f>
        <v>5.024678400000001</v>
      </c>
      <c r="J504" s="759" t="s">
        <v>237</v>
      </c>
      <c r="K504" s="468"/>
    </row>
    <row r="505" spans="1:11" ht="15.75">
      <c r="A505" s="465"/>
      <c r="B505" s="384" t="s">
        <v>39</v>
      </c>
      <c r="C505" s="385"/>
      <c r="D505" s="386"/>
      <c r="E505" s="95" t="e">
        <f>E499/E501/E500^2/MAIN!$C$11*1000000</f>
        <v>#VALUE!</v>
      </c>
      <c r="F505" s="389"/>
      <c r="G505" s="95" t="e">
        <f>G499/G501/G500^2/MAIN!$C$11*1000000</f>
        <v>#VALUE!</v>
      </c>
      <c r="H505" s="389"/>
      <c r="I505" s="95" t="e">
        <f>I499/I501/I500^2/MAIN!$C$11*1000000</f>
        <v>#VALUE!</v>
      </c>
      <c r="J505" s="750" t="s">
        <v>240</v>
      </c>
      <c r="K505" s="471"/>
    </row>
    <row r="506" spans="1:11" ht="15.75">
      <c r="A506" s="465"/>
      <c r="B506" s="384" t="s">
        <v>242</v>
      </c>
      <c r="C506" s="385" t="s">
        <v>13</v>
      </c>
      <c r="D506" s="386"/>
      <c r="E506" s="93" t="e">
        <f>E500*MIN(0.5+SQRT(0.25-MIN(E505,E502)/0.9),0.95)</f>
        <v>#VALUE!</v>
      </c>
      <c r="F506" s="386"/>
      <c r="G506" s="93" t="e">
        <f>IF(G499&gt;G504,G500-MAIN!J$15/2,G500*MIN(0.5+SQRT(0.25-MIN(G505,G502)/0.9),0.95))</f>
        <v>#VALUE!</v>
      </c>
      <c r="H506" s="386"/>
      <c r="I506" s="93" t="e">
        <f>I500*MIN(0.5+SQRT(0.25-MIN(I505,I502)/0.9),0.95)</f>
        <v>#VALUE!</v>
      </c>
      <c r="J506" s="759" t="s">
        <v>237</v>
      </c>
      <c r="K506" s="468"/>
    </row>
    <row r="507" spans="1:11" ht="15.75">
      <c r="A507" s="465"/>
      <c r="B507" s="384" t="s">
        <v>243</v>
      </c>
      <c r="C507" s="385" t="s">
        <v>13</v>
      </c>
      <c r="D507" s="386"/>
      <c r="E507" s="93" t="e">
        <f>(E500-E506)/0.45</f>
        <v>#VALUE!</v>
      </c>
      <c r="F507" s="386"/>
      <c r="G507" s="93" t="e">
        <f>(G500-G506)/0.45</f>
        <v>#VALUE!</v>
      </c>
      <c r="H507" s="386"/>
      <c r="I507" s="93" t="e">
        <f>(I500-I506)/0.45</f>
        <v>#VALUE!</v>
      </c>
      <c r="J507" s="759" t="s">
        <v>237</v>
      </c>
      <c r="K507" s="468"/>
    </row>
    <row r="508" spans="1:11" ht="15.75">
      <c r="A508" s="465"/>
      <c r="B508" s="384" t="s">
        <v>244</v>
      </c>
      <c r="C508" s="385" t="s">
        <v>13</v>
      </c>
      <c r="D508" s="386"/>
      <c r="E508" s="94">
        <f>MAIN!$J$12+E577+E555/2</f>
        <v>36</v>
      </c>
      <c r="F508" s="390"/>
      <c r="G508" s="94">
        <f>MAIN!$J$11+G577+G555/2</f>
        <v>32</v>
      </c>
      <c r="H508" s="390"/>
      <c r="I508" s="94">
        <f>MAIN!$J$12+I577+I555/2</f>
        <v>34</v>
      </c>
      <c r="J508" s="759"/>
      <c r="K508" s="469"/>
    </row>
    <row r="509" spans="1:11" ht="15.75">
      <c r="A509" s="465"/>
      <c r="B509" s="384" t="s">
        <v>245</v>
      </c>
      <c r="C509" s="385" t="s">
        <v>11</v>
      </c>
      <c r="D509" s="386"/>
      <c r="E509" s="94" t="e">
        <f>MAX(0.001,MIN(700*(E507-E508)/E507,MAIN!$C$12/MAIN!$F$12)-IF(0.9*E507&gt;E508,0.67*MAIN!$C$11/MAIN!$F$13,0))</f>
        <v>#VALUE!</v>
      </c>
      <c r="F509" s="390"/>
      <c r="G509" s="94" t="e">
        <f>MAX(0.001,MIN(700*(G507-G508)/G507,MAIN!$C$12/MAIN!$F$12)-IF(0.9*G507&gt;G508,0.67*MAIN!$C$11/MAIN!$F$13,0))</f>
        <v>#VALUE!</v>
      </c>
      <c r="H509" s="390"/>
      <c r="I509" s="94" t="e">
        <f>MAX(0.001,MIN(700*(I507-I508)/I507,MAIN!$C$12/MAIN!$F$12)-IF(0.9*I507&gt;I508,0.67*MAIN!$C$11/MAIN!$F$13,0))</f>
        <v>#VALUE!</v>
      </c>
      <c r="J509" s="750" t="s">
        <v>241</v>
      </c>
      <c r="K509" s="469"/>
    </row>
    <row r="510" spans="1:11" ht="15.75">
      <c r="A510" s="465"/>
      <c r="B510" s="384" t="s">
        <v>246</v>
      </c>
      <c r="C510" s="385" t="s">
        <v>236</v>
      </c>
      <c r="D510" s="386"/>
      <c r="E510" s="93" t="e">
        <f>MAX(0,E499-E504)</f>
        <v>#VALUE!</v>
      </c>
      <c r="F510" s="386"/>
      <c r="G510" s="93" t="e">
        <f>MAX(0,G499-MAX(G503:G504))</f>
        <v>#VALUE!</v>
      </c>
      <c r="H510" s="386"/>
      <c r="I510" s="93" t="e">
        <f>MAX(0,I499-I504)</f>
        <v>#VALUE!</v>
      </c>
      <c r="J510" s="759"/>
      <c r="K510" s="468"/>
    </row>
    <row r="511" spans="1:11" ht="15.75">
      <c r="A511" s="465"/>
      <c r="B511" s="384" t="s">
        <v>247</v>
      </c>
      <c r="C511" s="385" t="s">
        <v>109</v>
      </c>
      <c r="D511" s="386"/>
      <c r="E511" s="96" t="e">
        <f>1000000*E510/E509/(E500-E508)</f>
        <v>#VALUE!</v>
      </c>
      <c r="F511" s="391"/>
      <c r="G511" s="96" t="e">
        <f>1000000*G510/G509/(G500-G508)</f>
        <v>#VALUE!</v>
      </c>
      <c r="H511" s="391"/>
      <c r="I511" s="96" t="e">
        <f>1000000*I510/I509/(I500-I508)</f>
        <v>#VALUE!</v>
      </c>
      <c r="J511" s="759"/>
      <c r="K511" s="472"/>
    </row>
    <row r="512" spans="1:11" ht="15.75">
      <c r="A512" s="465"/>
      <c r="B512" s="384" t="s">
        <v>248</v>
      </c>
      <c r="C512" s="385" t="s">
        <v>11</v>
      </c>
      <c r="D512" s="386"/>
      <c r="E512" s="94" t="e">
        <f>MIN(700*(E500-E507)/E507,MAIN!$C$12/MAIN!$F$12)</f>
        <v>#VALUE!</v>
      </c>
      <c r="F512" s="390"/>
      <c r="G512" s="94" t="e">
        <f>MIN(700*(G500-G507)/G507,MAIN!$C$12/MAIN!$F$12)</f>
        <v>#VALUE!</v>
      </c>
      <c r="H512" s="390"/>
      <c r="I512" s="94" t="e">
        <f>MIN(700*(I500-I507)/I507,MAIN!$C$12/MAIN!$F$12)</f>
        <v>#VALUE!</v>
      </c>
      <c r="J512" s="750" t="s">
        <v>241</v>
      </c>
      <c r="K512" s="469"/>
    </row>
    <row r="513" spans="1:11" ht="15.75">
      <c r="A513" s="465"/>
      <c r="B513" s="384" t="s">
        <v>249</v>
      </c>
      <c r="C513" s="385" t="s">
        <v>109</v>
      </c>
      <c r="D513" s="386"/>
      <c r="E513" s="96" t="e">
        <f>1000000/E512*(E499-E510)/E506+E511*E509/E512</f>
        <v>#VALUE!</v>
      </c>
      <c r="F513" s="386"/>
      <c r="G513" s="96" t="e">
        <f>1000000/G512*(G499-G510)/G506+G511*G509/G512</f>
        <v>#VALUE!</v>
      </c>
      <c r="H513" s="386"/>
      <c r="I513" s="96" t="e">
        <f>1000000/I512*(I499-I510)/I506+I511*I509/I512</f>
        <v>#VALUE!</v>
      </c>
      <c r="J513" s="759"/>
      <c r="K513" s="472"/>
    </row>
    <row r="514" spans="1:11" ht="15.75">
      <c r="A514" s="465"/>
      <c r="B514" s="384" t="s">
        <v>250</v>
      </c>
      <c r="C514" s="385"/>
      <c r="D514" s="386"/>
      <c r="E514" s="93"/>
      <c r="F514" s="386"/>
      <c r="G514" s="93">
        <f>I495/G501</f>
        <v>0.15555555555555556</v>
      </c>
      <c r="H514" s="386"/>
      <c r="I514" s="93"/>
      <c r="J514" s="750"/>
      <c r="K514" s="468"/>
    </row>
    <row r="515" spans="1:11" ht="15.75">
      <c r="A515" s="465"/>
      <c r="B515" s="384" t="s">
        <v>251</v>
      </c>
      <c r="C515" s="385" t="s">
        <v>252</v>
      </c>
      <c r="D515" s="386"/>
      <c r="E515" s="97">
        <f>MAX(0.0013,MIN(0.0024,0.0024-0.0011*(MAIN!$C$12-250)/210))</f>
        <v>0.0013</v>
      </c>
      <c r="F515" s="392"/>
      <c r="G515" s="97">
        <f>IF(MAIN!C$12&gt;=460,IF(G514&lt;0.4,0.0018,0.0013),IF(MAIN!C$12&gt;=425,IF(G514&lt;0.4,0.0021,0.0015),IF(G514&lt;0.4,0.0032,0.0024)))</f>
        <v>0.0018</v>
      </c>
      <c r="H515" s="392"/>
      <c r="I515" s="97">
        <f>MAX(0.0013,MIN(0.0024,0.0024-0.0011*(MAIN!$C$12-250)/210))</f>
        <v>0.0013</v>
      </c>
      <c r="J515" s="750" t="s">
        <v>323</v>
      </c>
      <c r="K515" s="473"/>
    </row>
    <row r="516" spans="1:11" ht="15.75">
      <c r="A516" s="465"/>
      <c r="B516" s="384" t="s">
        <v>253</v>
      </c>
      <c r="C516" s="385" t="s">
        <v>109</v>
      </c>
      <c r="D516" s="386"/>
      <c r="E516" s="96">
        <f>E515*E501*I494</f>
        <v>0</v>
      </c>
      <c r="F516" s="386"/>
      <c r="G516" s="96">
        <f>G515*I494*I495</f>
        <v>0</v>
      </c>
      <c r="H516" s="386"/>
      <c r="I516" s="96">
        <f>I515*I501*I494</f>
        <v>0</v>
      </c>
      <c r="J516" s="759"/>
      <c r="K516" s="472"/>
    </row>
    <row r="517" spans="1:11" ht="15.75">
      <c r="A517" s="465"/>
      <c r="B517" s="393" t="s">
        <v>254</v>
      </c>
      <c r="C517" s="394"/>
      <c r="D517" s="386"/>
      <c r="E517" s="634" t="s">
        <v>255</v>
      </c>
      <c r="F517" s="395">
        <f>E500+E540/2-G540/2</f>
        <v>-34</v>
      </c>
      <c r="G517" s="634" t="s">
        <v>256</v>
      </c>
      <c r="H517" s="395">
        <f>E508-E555/2+G540/2</f>
        <v>34</v>
      </c>
      <c r="I517" s="634"/>
      <c r="J517" s="750"/>
      <c r="K517" s="468"/>
    </row>
    <row r="518" spans="1:11" ht="15.75">
      <c r="A518" s="465"/>
      <c r="B518" s="384" t="s">
        <v>234</v>
      </c>
      <c r="C518" s="385" t="s">
        <v>87</v>
      </c>
      <c r="D518" s="386"/>
      <c r="E518" s="92">
        <f>MAX(0,Graf!X114)</f>
        <v>0</v>
      </c>
      <c r="F518" s="388"/>
      <c r="G518" s="92">
        <f>MAX(0,Graf!H114,Graf!R114)</f>
        <v>0</v>
      </c>
      <c r="H518" s="388"/>
      <c r="I518" s="92">
        <f>MAX(0,Graf!Y114)</f>
        <v>0</v>
      </c>
      <c r="J518" s="759"/>
      <c r="K518" s="468"/>
    </row>
    <row r="519" spans="1:11" ht="15.75">
      <c r="A519" s="465"/>
      <c r="B519" s="384" t="s">
        <v>235</v>
      </c>
      <c r="C519" s="385" t="s">
        <v>236</v>
      </c>
      <c r="D519" s="386"/>
      <c r="E519" s="93">
        <f>MAIN!$J$17/1000*E518</f>
        <v>0</v>
      </c>
      <c r="F519" s="386"/>
      <c r="G519" s="93">
        <f>MAIN!$J$17/1000*G518</f>
        <v>0</v>
      </c>
      <c r="H519" s="386"/>
      <c r="I519" s="93">
        <f>MAIN!$J$17/1000*I518</f>
        <v>0</v>
      </c>
      <c r="J519" s="759"/>
      <c r="K519" s="468"/>
    </row>
    <row r="520" spans="1:11" ht="15.75">
      <c r="A520" s="465"/>
      <c r="B520" s="384" t="s">
        <v>238</v>
      </c>
      <c r="C520" s="385" t="s">
        <v>13</v>
      </c>
      <c r="D520" s="386"/>
      <c r="E520" s="80">
        <f>MAIN!J$16</f>
        <v>150</v>
      </c>
      <c r="F520" s="52"/>
      <c r="G520" s="80">
        <f>E520</f>
        <v>150</v>
      </c>
      <c r="H520" s="52"/>
      <c r="I520" s="80">
        <f>G520</f>
        <v>150</v>
      </c>
      <c r="J520" s="750"/>
      <c r="K520" s="468"/>
    </row>
    <row r="521" spans="1:11" ht="15.75">
      <c r="A521" s="465"/>
      <c r="B521" s="384" t="s">
        <v>39</v>
      </c>
      <c r="C521" s="385"/>
      <c r="D521" s="386"/>
      <c r="E521" s="95">
        <f>1000000*E519/E520/MAIN!$C$11/E500^2</f>
        <v>0</v>
      </c>
      <c r="F521" s="389"/>
      <c r="G521" s="95">
        <f>1000000*G519/G520/MAIN!$C$11/F517^2</f>
        <v>0</v>
      </c>
      <c r="H521" s="389"/>
      <c r="I521" s="95">
        <f>1000000*I519/I520/MAIN!$C$11/I500^2</f>
        <v>0</v>
      </c>
      <c r="J521" s="750" t="s">
        <v>240</v>
      </c>
      <c r="K521" s="468"/>
    </row>
    <row r="522" spans="1:11" ht="15.75">
      <c r="A522" s="465"/>
      <c r="B522" s="384" t="s">
        <v>242</v>
      </c>
      <c r="C522" s="385" t="s">
        <v>13</v>
      </c>
      <c r="D522" s="386"/>
      <c r="E522" s="93">
        <f>E500*MIN(0.5+SQRT(0.25-MIN(E521,E502)/0.9),0.95)</f>
        <v>-32.3</v>
      </c>
      <c r="F522" s="386"/>
      <c r="G522" s="93" t="e">
        <f>F517*MIN(0.5+SQRT(0.25-MIN(G521,G502)/0.9),0.95)</f>
        <v>#VALUE!</v>
      </c>
      <c r="H522" s="386"/>
      <c r="I522" s="93">
        <f>I500*MIN(0.5+SQRT(0.25-MIN(I521,I502)/0.9),0.95)</f>
        <v>-30.4</v>
      </c>
      <c r="J522" s="759" t="s">
        <v>237</v>
      </c>
      <c r="K522" s="468"/>
    </row>
    <row r="523" spans="1:11" ht="15.75">
      <c r="A523" s="465"/>
      <c r="B523" s="384" t="s">
        <v>243</v>
      </c>
      <c r="C523" s="385" t="s">
        <v>13</v>
      </c>
      <c r="D523" s="386"/>
      <c r="E523" s="93">
        <f>(E500-E522)/0.45</f>
        <v>-3.777777777777784</v>
      </c>
      <c r="F523" s="386"/>
      <c r="G523" s="93" t="e">
        <f>(F517-G522)/0.45</f>
        <v>#VALUE!</v>
      </c>
      <c r="H523" s="386"/>
      <c r="I523" s="93">
        <f>(I500-I522)/0.45</f>
        <v>-3.5555555555555585</v>
      </c>
      <c r="J523" s="759" t="s">
        <v>237</v>
      </c>
      <c r="K523" s="468"/>
    </row>
    <row r="524" spans="1:11" ht="15.75">
      <c r="A524" s="465"/>
      <c r="B524" s="384" t="s">
        <v>245</v>
      </c>
      <c r="C524" s="385" t="s">
        <v>11</v>
      </c>
      <c r="D524" s="386"/>
      <c r="E524" s="94">
        <f>MAX(0.001,MIN(700*(E523-E508)/E523,MAIN!$C$12/MAIN!$F$12)-IF(0.9*E523&gt;E508,0.67*MAIN!$C$11/MAIN!$F$13,0))</f>
        <v>438.0952380952381</v>
      </c>
      <c r="F524" s="386"/>
      <c r="G524" s="94" t="e">
        <f>MAX(0.001,MIN(700*(G523-H517)/G523,MAIN!$C$12/MAIN!$F$12)-IF(0.9*G523&gt;H517,0.67*MAIN!$C$11/MAIN!$F$13,0))</f>
        <v>#VALUE!</v>
      </c>
      <c r="H524" s="386"/>
      <c r="I524" s="94">
        <f>MAX(0.001,MIN(700*(I523-I508)/I523,MAIN!$C$12/MAIN!$F$12)-IF(0.9*I523&gt;I508,0.67*MAIN!$C$11/MAIN!$F$13,0))</f>
        <v>438.0952380952381</v>
      </c>
      <c r="J524" s="750" t="s">
        <v>241</v>
      </c>
      <c r="K524" s="468"/>
    </row>
    <row r="525" spans="1:11" ht="15.75">
      <c r="A525" s="465"/>
      <c r="B525" s="384" t="s">
        <v>246</v>
      </c>
      <c r="C525" s="385" t="s">
        <v>236</v>
      </c>
      <c r="D525" s="386"/>
      <c r="E525" s="93">
        <f>MAX(0,E519-E503)</f>
        <v>0</v>
      </c>
      <c r="F525" s="386"/>
      <c r="G525" s="93">
        <f>MAX(0,G519-G503)</f>
        <v>0</v>
      </c>
      <c r="H525" s="386"/>
      <c r="I525" s="93">
        <f>MAX(0,I519-I503)</f>
        <v>0</v>
      </c>
      <c r="J525" s="750"/>
      <c r="K525" s="468"/>
    </row>
    <row r="526" spans="1:11" ht="15.75">
      <c r="A526" s="465"/>
      <c r="B526" s="384" t="s">
        <v>247</v>
      </c>
      <c r="C526" s="385" t="s">
        <v>109</v>
      </c>
      <c r="D526" s="386"/>
      <c r="E526" s="96">
        <f>1000000*MIN(E525/E524/(E500-E508),E519/MAIN!$C$12*MAIN!$F$12/(E500-E508))</f>
        <v>0</v>
      </c>
      <c r="F526" s="386"/>
      <c r="G526" s="96" t="e">
        <f>1000000*MIN(G525/G524/(F517-H517),G519/MAIN!$C$12*MAIN!$F$12/(F517-H517))</f>
        <v>#VALUE!</v>
      </c>
      <c r="H526" s="386"/>
      <c r="I526" s="96">
        <f>1000000*MIN(I525/I524/(I500-I508),I519/MAIN!$C$12*MAIN!$F$12/(I500-I508))</f>
        <v>0</v>
      </c>
      <c r="J526" s="750"/>
      <c r="K526" s="468"/>
    </row>
    <row r="527" spans="1:11" ht="15.75">
      <c r="A527" s="465"/>
      <c r="B527" s="384" t="s">
        <v>248</v>
      </c>
      <c r="C527" s="385" t="s">
        <v>11</v>
      </c>
      <c r="D527" s="386"/>
      <c r="E527" s="94">
        <f>MIN(700*(E500-E523)/E523,MAIN!$C$12/MAIN!$F$12)</f>
        <v>438.0952380952381</v>
      </c>
      <c r="F527" s="386"/>
      <c r="G527" s="94" t="e">
        <f>MIN(700*(F517-G523)/G523,MAIN!$C$12/MAIN!$F$12)</f>
        <v>#VALUE!</v>
      </c>
      <c r="H527" s="386"/>
      <c r="I527" s="94">
        <f>MIN(700*(I500-I523)/I523,MAIN!$C$12/MAIN!$F$12)</f>
        <v>438.0952380952381</v>
      </c>
      <c r="J527" s="750" t="s">
        <v>241</v>
      </c>
      <c r="K527" s="468"/>
    </row>
    <row r="528" spans="1:11" ht="15.75">
      <c r="A528" s="465"/>
      <c r="B528" s="384" t="s">
        <v>249</v>
      </c>
      <c r="C528" s="385" t="s">
        <v>109</v>
      </c>
      <c r="D528" s="386"/>
      <c r="E528" s="96">
        <f>1000000*MIN((E519-E525)/E522/E527+E526*E524/E527,E519/MAIN!$C$12*MAIN!$F$12/(E500-E508))</f>
        <v>0</v>
      </c>
      <c r="F528" s="386"/>
      <c r="G528" s="96" t="e">
        <f>1000000*MIN((G519-G525)/G522/G527+G526*G524/G527,G519/MAIN!$C$12*MAIN!$F$12/(F517-H517))</f>
        <v>#VALUE!</v>
      </c>
      <c r="H528" s="386"/>
      <c r="I528" s="96">
        <f>1000000*MIN((I519-I525)/I522/I527+I526*I524/I527,I519/MAIN!$C$12*MAIN!$F$12/(I500-I508))</f>
        <v>0</v>
      </c>
      <c r="J528" s="750"/>
      <c r="K528" s="468"/>
    </row>
    <row r="529" spans="1:11" ht="15.75">
      <c r="A529" s="465"/>
      <c r="B529" s="384"/>
      <c r="C529" s="385"/>
      <c r="D529" s="396"/>
      <c r="E529" s="671"/>
      <c r="F529" s="396"/>
      <c r="G529" s="671"/>
      <c r="H529" s="396"/>
      <c r="I529" s="671"/>
      <c r="J529" s="750"/>
      <c r="K529" s="468"/>
    </row>
    <row r="530" spans="1:11" ht="16.5" thickBot="1">
      <c r="A530" s="465"/>
      <c r="B530" s="400"/>
      <c r="C530" s="401"/>
      <c r="D530" s="402"/>
      <c r="E530" s="401"/>
      <c r="F530" s="402"/>
      <c r="G530" s="401"/>
      <c r="H530" s="402"/>
      <c r="I530" s="401"/>
      <c r="J530" s="749"/>
      <c r="K530" s="468"/>
    </row>
    <row r="531" spans="1:11" ht="18.75" thickTop="1">
      <c r="A531" s="465"/>
      <c r="B531" s="539" t="str">
        <f>B$2</f>
        <v> Project</v>
      </c>
      <c r="C531" s="540" t="str">
        <f>C$2</f>
        <v>Spreadsheets to BS 8110</v>
      </c>
      <c r="D531" s="542"/>
      <c r="E531" s="542"/>
      <c r="F531" s="542"/>
      <c r="G531" s="541"/>
      <c r="H531" s="542"/>
      <c r="I531" s="542"/>
      <c r="J531" s="753"/>
      <c r="K531" s="468"/>
    </row>
    <row r="532" spans="1:11" ht="18">
      <c r="A532" s="465"/>
      <c r="B532" s="543" t="str">
        <f>B$3</f>
        <v> Location</v>
      </c>
      <c r="C532" s="544" t="str">
        <f>C$3</f>
        <v>3rd Floor slab,  from 1 to 5a</v>
      </c>
      <c r="D532" s="545"/>
      <c r="E532" s="545"/>
      <c r="F532" s="545"/>
      <c r="G532" s="736" t="s">
        <v>419</v>
      </c>
      <c r="H532" s="545"/>
      <c r="I532" s="545"/>
      <c r="J532" s="754"/>
      <c r="K532" s="468"/>
    </row>
    <row r="533" spans="1:11" ht="15.75">
      <c r="A533" s="465"/>
      <c r="B533" s="546"/>
      <c r="C533" s="547" t="str">
        <f>C$4</f>
        <v>RIBBED SLABS to BS 8110:1997 (Analysis &amp; Design)</v>
      </c>
      <c r="D533" s="545"/>
      <c r="E533" s="545"/>
      <c r="F533" s="545"/>
      <c r="G533" s="122"/>
      <c r="H533" s="122"/>
      <c r="I533" s="122"/>
      <c r="J533" s="766" t="str">
        <f>J$4</f>
        <v>Made by  rmw    Job No  R68</v>
      </c>
      <c r="K533" s="468"/>
    </row>
    <row r="534" spans="1:11" ht="16.5" thickBot="1">
      <c r="A534" s="465"/>
      <c r="B534" s="549"/>
      <c r="C534" s="550" t="str">
        <f>C$5</f>
        <v>Originated from  RCC32.xls v2.2 on CD               © 2000-2003 BCA for RCC</v>
      </c>
      <c r="D534" s="552"/>
      <c r="E534" s="552"/>
      <c r="F534" s="552"/>
      <c r="G534" s="551"/>
      <c r="H534" s="551"/>
      <c r="I534" s="553" t="str">
        <f>I$5</f>
        <v> Date</v>
      </c>
      <c r="J534" s="767">
        <f>J$5</f>
        <v>39305</v>
      </c>
      <c r="K534" s="468"/>
    </row>
    <row r="535" spans="1:11" ht="15.75">
      <c r="A535" s="465"/>
      <c r="B535" s="384" t="s">
        <v>418</v>
      </c>
      <c r="C535" s="385"/>
      <c r="D535" s="396"/>
      <c r="E535" s="385"/>
      <c r="F535" s="385"/>
      <c r="G535" s="385"/>
      <c r="H535" s="385"/>
      <c r="I535" s="640"/>
      <c r="J535" s="748"/>
      <c r="K535" s="468"/>
    </row>
    <row r="536" spans="1:11" ht="15.75">
      <c r="A536" s="465"/>
      <c r="B536" s="384"/>
      <c r="C536" s="385"/>
      <c r="D536" s="396"/>
      <c r="E536" s="673"/>
      <c r="F536" s="385"/>
      <c r="G536" s="673"/>
      <c r="H536" s="385"/>
      <c r="I536" s="674"/>
      <c r="J536" s="750"/>
      <c r="K536" s="468"/>
    </row>
    <row r="537" spans="1:11" ht="15.75">
      <c r="A537" s="465"/>
      <c r="B537" s="382" t="s">
        <v>257</v>
      </c>
      <c r="C537" s="394"/>
      <c r="D537" s="386"/>
      <c r="E537" s="93"/>
      <c r="F537" s="386"/>
      <c r="G537" s="93"/>
      <c r="H537" s="386"/>
      <c r="I537" s="761"/>
      <c r="J537" s="750"/>
      <c r="K537" s="468"/>
    </row>
    <row r="538" spans="1:11" ht="15.75">
      <c r="A538" s="465"/>
      <c r="B538" s="384" t="s">
        <v>258</v>
      </c>
      <c r="C538" s="385" t="s">
        <v>109</v>
      </c>
      <c r="D538" s="386"/>
      <c r="E538" s="96" t="e">
        <f>E513*(1+E568)</f>
        <v>#VALUE!</v>
      </c>
      <c r="F538" s="391"/>
      <c r="G538" s="96" t="e">
        <f>G513*(1+G568)</f>
        <v>#VALUE!</v>
      </c>
      <c r="H538" s="391"/>
      <c r="I538" s="96" t="e">
        <f>I513*(1+I568)</f>
        <v>#VALUE!</v>
      </c>
      <c r="J538" s="750"/>
      <c r="K538" s="468"/>
    </row>
    <row r="539" spans="1:11" ht="15.75">
      <c r="A539" s="465"/>
      <c r="B539" s="384" t="s">
        <v>259</v>
      </c>
      <c r="C539" s="385" t="s">
        <v>109</v>
      </c>
      <c r="D539" s="386"/>
      <c r="E539" s="96">
        <f>MAX(E548*$I494*$I495,E528*(1+E568))</f>
        <v>0</v>
      </c>
      <c r="F539" s="391"/>
      <c r="G539" s="96" t="e">
        <f>MAX(G538,G516,G528)</f>
        <v>#VALUE!</v>
      </c>
      <c r="H539" s="391"/>
      <c r="I539" s="96">
        <f>MAX(I548*$I494*$I495,I528*(1+I568))</f>
        <v>0</v>
      </c>
      <c r="J539" s="750"/>
      <c r="K539" s="468"/>
    </row>
    <row r="540" spans="1:11" ht="15.75">
      <c r="A540" s="465"/>
      <c r="B540" s="384" t="s">
        <v>374</v>
      </c>
      <c r="C540" s="385" t="s">
        <v>13</v>
      </c>
      <c r="D540" s="737" t="str">
        <f>IF(MAIN!$J$11+E577&lt;E540,"! ! !","ok")</f>
        <v>ok</v>
      </c>
      <c r="E540" s="80">
        <f>SPANS!F131</f>
        <v>16</v>
      </c>
      <c r="F540" s="737" t="str">
        <f>IF(MIN(MAIN!$J$12,MAIN!$J$13)+G577&lt;G540,"! ! !","ok")</f>
        <v>ok</v>
      </c>
      <c r="G540" s="80">
        <f>SPANS!I134</f>
        <v>16</v>
      </c>
      <c r="H540" s="737" t="str">
        <f>IF(MAIN!$J$11+I577&lt;I540,"! ! !","ok")</f>
        <v>ok</v>
      </c>
      <c r="I540" s="80">
        <f>SPANS!L131</f>
        <v>12</v>
      </c>
      <c r="J540" s="750"/>
      <c r="K540" s="403" t="str">
        <f>IF(AND(AND(D540="ok",F540="ok"),H540="ok"),"","Inadequate Cover")</f>
        <v></v>
      </c>
    </row>
    <row r="541" spans="1:11" ht="15.75">
      <c r="A541" s="465"/>
      <c r="B541" s="384" t="s">
        <v>136</v>
      </c>
      <c r="C541" s="385"/>
      <c r="D541" s="738"/>
      <c r="E541" s="80">
        <f>MAX(2,CEILING(E539/PI()*4/E540^2,1))</f>
        <v>2</v>
      </c>
      <c r="F541" s="738"/>
      <c r="G541" s="80" t="e">
        <f>MAX(1,CEILING(G539/PI()*4/G540^2,1))</f>
        <v>#VALUE!</v>
      </c>
      <c r="H541" s="738"/>
      <c r="I541" s="80">
        <f>MAX(2,CEILING(I539/PI()*4/I540^2,1))</f>
        <v>2</v>
      </c>
      <c r="J541" s="750"/>
      <c r="K541" s="468"/>
    </row>
    <row r="542" spans="1:11" ht="15.75">
      <c r="A542" s="465"/>
      <c r="B542" s="384" t="s">
        <v>112</v>
      </c>
      <c r="C542" s="385" t="s">
        <v>109</v>
      </c>
      <c r="D542" s="738"/>
      <c r="E542" s="96">
        <f>PI()/4*E540^2*E541</f>
        <v>402.1238596594935</v>
      </c>
      <c r="F542" s="739"/>
      <c r="G542" s="96" t="e">
        <f>PI()/4*G540^2*G541</f>
        <v>#VALUE!</v>
      </c>
      <c r="H542" s="739"/>
      <c r="I542" s="96">
        <f>PI()/4*I540^2*I541</f>
        <v>226.1946710584651</v>
      </c>
      <c r="J542" s="750" t="str">
        <f>IF(Analysis!I417&gt;4,"! ! !"," ")</f>
        <v> </v>
      </c>
      <c r="K542" s="468"/>
    </row>
    <row r="543" spans="1:11" ht="15.75">
      <c r="A543" s="465"/>
      <c r="B543" s="384" t="s">
        <v>261</v>
      </c>
      <c r="C543" s="385" t="s">
        <v>252</v>
      </c>
      <c r="D543" s="737" t="str">
        <f>IF(E543&gt;4,"! ! !","ok")</f>
        <v>ok</v>
      </c>
      <c r="E543" s="98">
        <f>100*E542/E500/I495</f>
        <v>-8.447980244947344</v>
      </c>
      <c r="F543" s="737" t="e">
        <f>IF(G543&gt;4,"! ! !","ok")</f>
        <v>#VALUE!</v>
      </c>
      <c r="G543" s="98" t="e">
        <f>100*G542/G500/I495</f>
        <v>#VALUE!</v>
      </c>
      <c r="H543" s="737" t="str">
        <f>IF(I543&gt;4,"! ! !","ok")</f>
        <v>ok</v>
      </c>
      <c r="I543" s="98">
        <f>100*I542/I500/I495</f>
        <v>-5.04898819326931</v>
      </c>
      <c r="J543" s="755"/>
      <c r="K543" s="403" t="e">
        <f>IF(AND(AND(D543="ok",F543="ok"),H543="ok"),"","As &gt; 4%")</f>
        <v>#VALUE!</v>
      </c>
    </row>
    <row r="544" spans="1:11" ht="15.75">
      <c r="A544" s="465"/>
      <c r="B544" s="384" t="s">
        <v>262</v>
      </c>
      <c r="C544" s="385" t="s">
        <v>13</v>
      </c>
      <c r="D544" s="738"/>
      <c r="E544" s="94">
        <f>(MAIN!$J$16+2/MAIN!$J$18*E500-2*(MAIN!$J$13+E577)-E541*E540)/(E541-1)</f>
        <v>59.19999999999999</v>
      </c>
      <c r="F544" s="740"/>
      <c r="G544" s="94" t="e">
        <f>IF(G541=1,G545,(MAIN!$J$16+2/MAIN!$J$18*(I494-G500)-2*(MAIN!$J$13+G577)-G541*G540)/(G541-1))</f>
        <v>#VALUE!</v>
      </c>
      <c r="H544" s="740"/>
      <c r="I544" s="94">
        <f>(MAIN!$J$16+2/MAIN!$J$18*I500-2*(MAIN!$J$13+I577)-I541*I540)/(I541-1)</f>
        <v>67.6</v>
      </c>
      <c r="J544" s="750" t="s">
        <v>263</v>
      </c>
      <c r="K544" s="468"/>
    </row>
    <row r="545" spans="1:11" ht="15.75">
      <c r="A545" s="465"/>
      <c r="B545" s="384" t="s">
        <v>264</v>
      </c>
      <c r="C545" s="385" t="s">
        <v>13</v>
      </c>
      <c r="D545" s="737" t="str">
        <f>IF(E544&lt;E545,"! ! !","ok")</f>
        <v>ok</v>
      </c>
      <c r="E545" s="94">
        <f>MAX(E540,MAIN!$F$11+5)</f>
        <v>25</v>
      </c>
      <c r="F545" s="737" t="e">
        <f>IF(G544&lt;G545,"! ! !","ok")</f>
        <v>#VALUE!</v>
      </c>
      <c r="G545" s="94">
        <f>MAX(G540,MAIN!$F$11+5)</f>
        <v>25</v>
      </c>
      <c r="H545" s="737" t="str">
        <f>IF(I544&lt;I545,"! ! !","ok")</f>
        <v>ok</v>
      </c>
      <c r="I545" s="94">
        <f>MAX(I540,MAIN!$F$11+5)</f>
        <v>25</v>
      </c>
      <c r="J545" s="750" t="s">
        <v>265</v>
      </c>
      <c r="K545" s="403" t="e">
        <f>IF(AND(AND(D545="ok",F545="ok"),H545="ok"),"","Min spacing fails")</f>
        <v>#VALUE!</v>
      </c>
    </row>
    <row r="546" spans="1:11" ht="15.75">
      <c r="A546" s="465"/>
      <c r="B546" s="384" t="s">
        <v>266</v>
      </c>
      <c r="C546" s="385" t="s">
        <v>13</v>
      </c>
      <c r="D546" s="737" t="str">
        <f>IF(E544&gt;E546,"! ! !","ok")</f>
        <v>ok</v>
      </c>
      <c r="E546" s="94">
        <f>E445</f>
        <v>152.17391304347825</v>
      </c>
      <c r="F546" s="737" t="e">
        <f>IF(G544&gt;G546,"! ! !","ok")</f>
        <v>#VALUE!</v>
      </c>
      <c r="G546" s="94" t="e">
        <f>MIN(47000/G562,300)</f>
        <v>#VALUE!</v>
      </c>
      <c r="H546" s="737" t="str">
        <f>IF(I544&gt;I546,"! ! !","ok")</f>
        <v>ok</v>
      </c>
      <c r="I546" s="94">
        <f>I445</f>
        <v>152.17391304347825</v>
      </c>
      <c r="J546" s="750" t="s">
        <v>267</v>
      </c>
      <c r="K546" s="403" t="e">
        <f>IF(AND(AND(D546="ok",F546="ok"),H546="ok"),"","Max spacing fails")</f>
        <v>#VALUE!</v>
      </c>
    </row>
    <row r="547" spans="1:11" ht="15.75">
      <c r="A547" s="465"/>
      <c r="B547" s="477" t="s">
        <v>369</v>
      </c>
      <c r="C547" s="385"/>
      <c r="D547" s="396"/>
      <c r="E547" s="94"/>
      <c r="F547" s="396"/>
      <c r="G547" s="94"/>
      <c r="H547" s="396"/>
      <c r="I547" s="94"/>
      <c r="J547" s="750"/>
      <c r="K547" s="468"/>
    </row>
    <row r="548" spans="1:11" ht="15.75">
      <c r="A548" s="465"/>
      <c r="B548" s="384" t="s">
        <v>370</v>
      </c>
      <c r="C548" s="385" t="s">
        <v>252</v>
      </c>
      <c r="D548" s="396"/>
      <c r="E548" s="97">
        <f>E447</f>
        <v>0.0026</v>
      </c>
      <c r="F548" s="396"/>
      <c r="G548" s="97"/>
      <c r="H548" s="396"/>
      <c r="I548" s="97">
        <f>E548</f>
        <v>0.0026</v>
      </c>
      <c r="J548" s="750"/>
      <c r="K548" s="468"/>
    </row>
    <row r="549" spans="1:11" ht="15.75">
      <c r="A549" s="465"/>
      <c r="B549" s="384" t="s">
        <v>371</v>
      </c>
      <c r="C549" s="385" t="s">
        <v>109</v>
      </c>
      <c r="D549" s="396"/>
      <c r="E549" s="96" t="e">
        <f>MAX(0,MAX(E513,E538,E516)-E542)</f>
        <v>#VALUE!</v>
      </c>
      <c r="F549" s="479"/>
      <c r="G549" s="96"/>
      <c r="H549" s="479"/>
      <c r="I549" s="96" t="e">
        <f>MAX(0,MAX(I513,I538,I516)-I542)</f>
        <v>#VALUE!</v>
      </c>
      <c r="J549" s="750"/>
      <c r="K549" s="468"/>
    </row>
    <row r="550" spans="1:11" ht="15.75">
      <c r="A550" s="465"/>
      <c r="B550" s="384" t="s">
        <v>372</v>
      </c>
      <c r="C550" s="385" t="s">
        <v>13</v>
      </c>
      <c r="D550" s="396"/>
      <c r="E550" s="96" t="e">
        <f>HLOOKUP(SQRT(4*E549/M551/PI()),L$50:R$51,2)</f>
        <v>#VALUE!</v>
      </c>
      <c r="F550" s="479"/>
      <c r="G550" s="96"/>
      <c r="H550" s="479"/>
      <c r="I550" s="96" t="e">
        <f>HLOOKUP(SQRT(4*I549/N551/PI()),L$50:R$51,2)</f>
        <v>#VALUE!</v>
      </c>
      <c r="J550" s="750"/>
      <c r="K550" s="468"/>
    </row>
    <row r="551" spans="1:14" ht="15.75">
      <c r="A551" s="465"/>
      <c r="B551" s="384" t="s">
        <v>136</v>
      </c>
      <c r="C551" s="385"/>
      <c r="D551" s="396"/>
      <c r="E551" s="96" t="e">
        <f>MAX(M551,CEILING(E549/PI()*4/E550^2,1))</f>
        <v>#VALUE!</v>
      </c>
      <c r="F551" s="479"/>
      <c r="G551" s="96"/>
      <c r="H551" s="479"/>
      <c r="I551" s="96" t="e">
        <f>MAX(N551,CEILING(I549/PI()*4/I550^2,1))</f>
        <v>#VALUE!</v>
      </c>
      <c r="J551" s="750"/>
      <c r="K551" s="468"/>
      <c r="L551" s="478" t="s">
        <v>373</v>
      </c>
      <c r="M551" s="478">
        <f>MAX(CEILING((MAIN!$J$17-(E544+E540)*(E541-1))/(E546+E540),1)-1,1)</f>
        <v>4</v>
      </c>
      <c r="N551" s="478">
        <f>MAX(CEILING((MAIN!$J$17-(I544+I540)*(I541-1))/(I546+I540),1)-1,1)</f>
        <v>4</v>
      </c>
    </row>
    <row r="552" spans="1:11" ht="15.75">
      <c r="A552" s="465"/>
      <c r="B552" s="384" t="s">
        <v>112</v>
      </c>
      <c r="C552" s="385" t="s">
        <v>109</v>
      </c>
      <c r="D552" s="396"/>
      <c r="E552" s="96">
        <f>IF(G494=0,0,PI()/4*E550^2*E551)</f>
        <v>0</v>
      </c>
      <c r="F552" s="396"/>
      <c r="G552" s="94"/>
      <c r="H552" s="396"/>
      <c r="I552" s="96" t="e">
        <f>PI()/4*I550^2*I551</f>
        <v>#VALUE!</v>
      </c>
      <c r="J552" s="750"/>
      <c r="K552" s="468"/>
    </row>
    <row r="553" spans="1:11" ht="15.75">
      <c r="A553" s="465"/>
      <c r="B553" s="382" t="s">
        <v>268</v>
      </c>
      <c r="C553" s="394"/>
      <c r="D553" s="386"/>
      <c r="E553" s="93"/>
      <c r="F553" s="386"/>
      <c r="G553" s="93"/>
      <c r="H553" s="386"/>
      <c r="I553" s="93"/>
      <c r="J553" s="750"/>
      <c r="K553" s="468"/>
    </row>
    <row r="554" spans="1:11" ht="15.75">
      <c r="A554" s="465"/>
      <c r="B554" s="384" t="s">
        <v>269</v>
      </c>
      <c r="C554" s="385" t="s">
        <v>109</v>
      </c>
      <c r="D554" s="386"/>
      <c r="E554" s="96" t="e">
        <f>MAX(IF(E499=0,0.5,0.3)*$G542,IF(E525=0,0,MAX(E511,E526,0.002*I495*I494)))</f>
        <v>#VALUE!</v>
      </c>
      <c r="F554" s="386"/>
      <c r="G554" s="96" t="e">
        <f>MAX(G511,G528,IF(G510=0,0,0.004*I494*G501),IF(G528=0,0,IF(MAIN!C$12&lt;425,0.0024,0.0013)*I495*I494))</f>
        <v>#VALUE!</v>
      </c>
      <c r="H554" s="386"/>
      <c r="I554" s="96" t="e">
        <f>MAX(IF(I499=0,0.5,0.3)*$G542,IF(I525=0,0,MAX(I511,I526,0.002*I495*I494)))</f>
        <v>#VALUE!</v>
      </c>
      <c r="J554" s="750" t="s">
        <v>323</v>
      </c>
      <c r="K554" s="468"/>
    </row>
    <row r="555" spans="1:11" ht="15.75">
      <c r="A555" s="465"/>
      <c r="B555" s="384" t="s">
        <v>260</v>
      </c>
      <c r="C555" s="385" t="s">
        <v>13</v>
      </c>
      <c r="D555" s="737" t="str">
        <f>IF(MIN(MAIN!$J$12,MAIN!$J$13)+E577&lt;E555,"! ! !","ok")</f>
        <v>ok</v>
      </c>
      <c r="E555" s="80">
        <f>SPANS!F134</f>
        <v>20</v>
      </c>
      <c r="F555" s="737" t="str">
        <f>IF(MAIN!$J$11+G577&lt;G555,"! ! !","ok")</f>
        <v>ok</v>
      </c>
      <c r="G555" s="80">
        <f>SPANS!I131</f>
        <v>12</v>
      </c>
      <c r="H555" s="737" t="str">
        <f>IF(MIN(MAIN!$J$12,MAIN!$J$13)+I577&lt;I555,"! ! !","ok")</f>
        <v>ok</v>
      </c>
      <c r="I555" s="80">
        <f>SPANS!L134</f>
        <v>16</v>
      </c>
      <c r="J555" s="750"/>
      <c r="K555" s="403" t="str">
        <f>IF(AND(AND(D555="ok",F555="ok"),H555="ok"),"","Inadequate Cover")</f>
        <v></v>
      </c>
    </row>
    <row r="556" spans="1:11" ht="15.75">
      <c r="A556" s="465"/>
      <c r="B556" s="384" t="s">
        <v>136</v>
      </c>
      <c r="C556" s="385"/>
      <c r="D556" s="738"/>
      <c r="E556" s="80" t="e">
        <f>MAX(1,CEILING(E554/PI()*4/E555^2,1))</f>
        <v>#VALUE!</v>
      </c>
      <c r="F556" s="738"/>
      <c r="G556" s="80" t="e">
        <f>IF(G555=0,0,MAX(1,CEILING(G554/PI()*4/G555^2,1)))</f>
        <v>#VALUE!</v>
      </c>
      <c r="H556" s="738"/>
      <c r="I556" s="80" t="e">
        <f>MAX(1,CEILING(I554/PI()*4/I555^2,1))</f>
        <v>#VALUE!</v>
      </c>
      <c r="J556" s="750"/>
      <c r="K556" s="468"/>
    </row>
    <row r="557" spans="1:11" ht="15.75">
      <c r="A557" s="465"/>
      <c r="B557" s="384" t="s">
        <v>114</v>
      </c>
      <c r="C557" s="385" t="s">
        <v>109</v>
      </c>
      <c r="D557" s="738"/>
      <c r="E557" s="96" t="e">
        <f>PI()/4*E555^2*E556</f>
        <v>#VALUE!</v>
      </c>
      <c r="F557" s="738"/>
      <c r="G557" s="96" t="e">
        <f>PI()/4*G555^2*G556</f>
        <v>#VALUE!</v>
      </c>
      <c r="H557" s="738"/>
      <c r="I557" s="96" t="e">
        <f>PI()/4*I555^2*I556</f>
        <v>#VALUE!</v>
      </c>
      <c r="J557" s="750"/>
      <c r="K557" s="468"/>
    </row>
    <row r="558" spans="1:11" ht="15.75">
      <c r="A558" s="465"/>
      <c r="B558" s="384" t="s">
        <v>261</v>
      </c>
      <c r="C558" s="385" t="s">
        <v>252</v>
      </c>
      <c r="D558" s="737" t="e">
        <f>IF(E558&gt;4,"! ! !","ok")</f>
        <v>#VALUE!</v>
      </c>
      <c r="E558" s="99" t="e">
        <f>100*E557/E500/I495</f>
        <v>#VALUE!</v>
      </c>
      <c r="F558" s="737" t="e">
        <f>IF(G558&gt;4,"! ! !","ok")</f>
        <v>#VALUE!</v>
      </c>
      <c r="G558" s="99" t="e">
        <f>100*G557/G500/I495</f>
        <v>#VALUE!</v>
      </c>
      <c r="H558" s="737" t="e">
        <f>IF(I558&gt;4,"! ! !","ok")</f>
        <v>#VALUE!</v>
      </c>
      <c r="I558" s="99" t="e">
        <f>100*I557/I500/I495</f>
        <v>#VALUE!</v>
      </c>
      <c r="J558" s="750" t="s">
        <v>445</v>
      </c>
      <c r="K558" s="403" t="e">
        <f>IF(AND(AND(D558="ok",F558="ok"),H558="ok"),"","As &gt; 4%")</f>
        <v>#VALUE!</v>
      </c>
    </row>
    <row r="559" spans="1:11" ht="15.75">
      <c r="A559" s="465"/>
      <c r="B559" s="384" t="s">
        <v>262</v>
      </c>
      <c r="C559" s="385" t="s">
        <v>13</v>
      </c>
      <c r="D559" s="738"/>
      <c r="E559" s="94" t="e">
        <f>IF(E556&lt;2,0,(MAIN!$J$16+2/MAIN!$J$18*E508-2*(MAIN!$J$13+E577)-E555*E556)/(E556-1))</f>
        <v>#VALUE!</v>
      </c>
      <c r="F559" s="738"/>
      <c r="G559" s="94" t="e">
        <f>IF(G556&lt;2,0,(MAIN!$J$16+2/MAIN!$J$18*(I494-G508)-2*(MAIN!$J$13+G577)-G555*G556)/(G556-1))</f>
        <v>#VALUE!</v>
      </c>
      <c r="H559" s="738"/>
      <c r="I559" s="94" t="e">
        <f>IF(I556&lt;2,0,(MAIN!$J$16+2/MAIN!$J$18*I508-2*(MAIN!$J$13+I577)-I555*I556)/(I556-1))</f>
        <v>#VALUE!</v>
      </c>
      <c r="J559" s="750" t="s">
        <v>263</v>
      </c>
      <c r="K559" s="468"/>
    </row>
    <row r="560" spans="1:11" ht="15.75">
      <c r="A560" s="465"/>
      <c r="B560" s="384" t="s">
        <v>264</v>
      </c>
      <c r="C560" s="385" t="s">
        <v>13</v>
      </c>
      <c r="D560" s="737" t="e">
        <f>IF(E559&lt;E560,"! ! !","ok")</f>
        <v>#VALUE!</v>
      </c>
      <c r="E560" s="94" t="e">
        <f>IF(E556&lt;2,0,MAX(E555,MAIN!$F$11+5))</f>
        <v>#VALUE!</v>
      </c>
      <c r="F560" s="737" t="e">
        <f>IF(G559&lt;G560,"! ! !","ok")</f>
        <v>#VALUE!</v>
      </c>
      <c r="G560" s="94" t="e">
        <f>IF(G556&lt;2,0,MAX(G555,MAIN!$F$11+5))</f>
        <v>#VALUE!</v>
      </c>
      <c r="H560" s="737" t="e">
        <f>IF(I559&lt;I560,"! ! !","ok")</f>
        <v>#VALUE!</v>
      </c>
      <c r="I560" s="94" t="e">
        <f>IF(I556&lt;2,0,MAX(I555,MAIN!$F$11+5))</f>
        <v>#VALUE!</v>
      </c>
      <c r="J560" s="750" t="s">
        <v>265</v>
      </c>
      <c r="K560" s="403" t="e">
        <f>IF(AND(AND(D560="ok",F560="ok"),H560="ok"),"","Min spacing fails")</f>
        <v>#VALUE!</v>
      </c>
    </row>
    <row r="561" spans="1:11" ht="15.75">
      <c r="A561" s="465"/>
      <c r="B561" s="382" t="s">
        <v>270</v>
      </c>
      <c r="C561" s="394"/>
      <c r="D561" s="386"/>
      <c r="E561" s="93"/>
      <c r="F561" s="386"/>
      <c r="G561" s="93"/>
      <c r="H561" s="386"/>
      <c r="I561" s="93"/>
      <c r="J561" s="750"/>
      <c r="K561" s="468"/>
    </row>
    <row r="562" spans="1:11" ht="15.75">
      <c r="A562" s="465"/>
      <c r="B562" s="384" t="s">
        <v>271</v>
      </c>
      <c r="C562" s="385" t="s">
        <v>11</v>
      </c>
      <c r="D562" s="386"/>
      <c r="E562" s="94" t="e">
        <f>MAX(0.00001,2/3*MAIN!$C$12*E513/(E542+E552)/E497)</f>
        <v>#VALUE!</v>
      </c>
      <c r="F562" s="390"/>
      <c r="G562" s="94" t="e">
        <f>MAX(0.00001,2/3*MAIN!$C$12*G513/G542/G497)</f>
        <v>#VALUE!</v>
      </c>
      <c r="H562" s="390"/>
      <c r="I562" s="94" t="e">
        <f>MAX(1,2/3*MAIN!$C$12*I513/(I542+I552)/I497)</f>
        <v>#VALUE!</v>
      </c>
      <c r="J562" s="750" t="s">
        <v>327</v>
      </c>
      <c r="K562" s="468"/>
    </row>
    <row r="563" spans="1:11" ht="15.75">
      <c r="A563" s="465"/>
      <c r="B563" s="384" t="s">
        <v>272</v>
      </c>
      <c r="C563" s="385"/>
      <c r="D563" s="386"/>
      <c r="E563" s="93">
        <f>7*IF(G494&gt;10,10/G494,1)</f>
        <v>7</v>
      </c>
      <c r="F563" s="386"/>
      <c r="G563" s="93">
        <f>MAX(IF(SPANS!S$2=1,16,20.8),IF(SPANS!S$2=1,20,26)-5.2/0.7*(1-G514))*IF(G494&gt;10,10/G494,1)</f>
        <v>20.8</v>
      </c>
      <c r="H563" s="386"/>
      <c r="I563" s="93"/>
      <c r="J563" s="750" t="s">
        <v>273</v>
      </c>
      <c r="K563" s="468"/>
    </row>
    <row r="564" spans="1:11" ht="15.75">
      <c r="A564" s="465"/>
      <c r="B564" s="384" t="s">
        <v>274</v>
      </c>
      <c r="C564" s="385"/>
      <c r="D564" s="386"/>
      <c r="E564" s="93" t="e">
        <f>MIN(0.55+(477-E562)/120/(0.9+MAIN!C$11*E505),2)</f>
        <v>#VALUE!</v>
      </c>
      <c r="F564" s="386"/>
      <c r="G564" s="93" t="e">
        <f>MIN(0.55+(477-G562)/120/(0.9+MAIN!C$11*G505),2)</f>
        <v>#VALUE!</v>
      </c>
      <c r="H564" s="386"/>
      <c r="I564" s="93"/>
      <c r="J564" s="750" t="s">
        <v>325</v>
      </c>
      <c r="K564" s="468"/>
    </row>
    <row r="565" spans="1:11" ht="15.75">
      <c r="A565" s="465"/>
      <c r="B565" s="384" t="s">
        <v>276</v>
      </c>
      <c r="C565" s="385"/>
      <c r="D565" s="386"/>
      <c r="E565" s="93">
        <v>1</v>
      </c>
      <c r="F565" s="386"/>
      <c r="G565" s="93" t="e">
        <f>MIN(1.5,1+100*G557/G500/G501/(3+100*G557/G500/G501))</f>
        <v>#VALUE!</v>
      </c>
      <c r="H565" s="386"/>
      <c r="I565" s="93"/>
      <c r="J565" s="750" t="s">
        <v>275</v>
      </c>
      <c r="K565" s="468"/>
    </row>
    <row r="566" spans="1:11" ht="15.75">
      <c r="A566" s="465"/>
      <c r="B566" s="384" t="s">
        <v>277</v>
      </c>
      <c r="C566" s="385"/>
      <c r="D566" s="683" t="str">
        <f>IF(AND(MAIN!I$22=7,MAIN!J$22="C"),"Cant","-")</f>
        <v>-</v>
      </c>
      <c r="E566" s="682">
        <f>IF(LEFT(D566,1)="C",E563*E564*E565*IF(MAIN!C$14&lt;20,0.85,1),0)</f>
        <v>0</v>
      </c>
      <c r="F566" s="386"/>
      <c r="G566" s="93" t="e">
        <f>IF(LEFT(D566,1)="C",0,G563*G564*G565*IF(MAIN!C$14&lt;20,0.85,1))</f>
        <v>#VALUE!</v>
      </c>
      <c r="H566" s="386"/>
      <c r="I566" s="93"/>
      <c r="J566" s="750" t="s">
        <v>278</v>
      </c>
      <c r="K566" s="468"/>
    </row>
    <row r="567" spans="1:11" ht="15.75">
      <c r="A567" s="465"/>
      <c r="B567" s="384" t="s">
        <v>279</v>
      </c>
      <c r="C567" s="385"/>
      <c r="D567" s="386" t="str">
        <f>IF(E567&gt;E566,"! ! !","ok")</f>
        <v>ok</v>
      </c>
      <c r="E567" s="93">
        <f>IF(LEFT(D566,1)="C",1000*G494/E500,0)</f>
        <v>0</v>
      </c>
      <c r="F567" s="737" t="e">
        <f>IF(G567&gt;G566,"! ! !","ok")</f>
        <v>#VALUE!</v>
      </c>
      <c r="G567" s="93">
        <f>IF(LEFT(D566,1)="C",0,1000*G494/G500)</f>
        <v>0</v>
      </c>
      <c r="H567" s="396"/>
      <c r="I567" s="93"/>
      <c r="J567" s="750" t="s">
        <v>280</v>
      </c>
      <c r="K567" s="403" t="e">
        <f>IF(AND(D567="ok",F567="ok"),"","Deflection failure")</f>
        <v>#VALUE!</v>
      </c>
    </row>
    <row r="568" spans="1:11" ht="15.75">
      <c r="A568" s="465"/>
      <c r="B568" s="384" t="s">
        <v>281</v>
      </c>
      <c r="C568" s="385" t="s">
        <v>252</v>
      </c>
      <c r="D568" s="386"/>
      <c r="E568" s="93">
        <f>IF(LEFT(D566,1)="C",MAX(0,(2/3*MAIN!$C$12*E513/(477-120*(MIN(2,E567/(E563*E565*IF(MAIN!C$14&lt;20,0.85,1)))-0.55)*(0.9+MAIN!C$11*E505))/E497)/E513-1),0)</f>
        <v>0</v>
      </c>
      <c r="F568" s="386"/>
      <c r="G568" s="93" t="e">
        <f>IF(LEFT(D566,1)="C",0,MAX(0,(2/3*MAIN!$C$12*G513/(477-120*(MIN(2,G567/(G563*G565*IF(MAIN!C$14&lt;20,0.85,1)))-0.55)*(0.9+MAIN!C$11*G505))/G497)/G513-1))</f>
        <v>#VALUE!</v>
      </c>
      <c r="H568" s="386"/>
      <c r="I568" s="93"/>
      <c r="J568" s="750"/>
      <c r="K568" s="468"/>
    </row>
    <row r="569" spans="1:11" ht="15.75">
      <c r="A569" s="465"/>
      <c r="B569" s="397"/>
      <c r="C569" s="394"/>
      <c r="D569" s="386"/>
      <c r="E569" s="93"/>
      <c r="F569" s="386"/>
      <c r="G569" s="93"/>
      <c r="H569" s="386"/>
      <c r="I569" s="93"/>
      <c r="J569" s="750"/>
      <c r="K569" s="468"/>
    </row>
    <row r="570" spans="1:11" ht="15.75">
      <c r="A570" s="465"/>
      <c r="B570" s="382" t="s">
        <v>282</v>
      </c>
      <c r="C570" s="122"/>
      <c r="D570" s="386"/>
      <c r="E570" s="632"/>
      <c r="F570" s="387"/>
      <c r="G570" s="100"/>
      <c r="H570" s="387"/>
      <c r="I570" s="632"/>
      <c r="J570" s="750"/>
      <c r="K570" s="468"/>
    </row>
    <row r="571" spans="1:11" ht="15.75">
      <c r="A571" s="465"/>
      <c r="B571" s="384" t="s">
        <v>328</v>
      </c>
      <c r="C571" s="385" t="s">
        <v>71</v>
      </c>
      <c r="D571" s="398"/>
      <c r="E571" s="92">
        <f>MAX(Analysis!D281:D283)</f>
        <v>0</v>
      </c>
      <c r="F571" s="399"/>
      <c r="G571" s="101"/>
      <c r="H571" s="399"/>
      <c r="I571" s="92">
        <f>MAX(Analysis!J281:J283)</f>
        <v>0</v>
      </c>
      <c r="J571" s="755"/>
      <c r="K571" s="468"/>
    </row>
    <row r="572" spans="1:11" ht="15.75">
      <c r="A572" s="465"/>
      <c r="B572" s="384" t="s">
        <v>332</v>
      </c>
      <c r="C572" s="385" t="s">
        <v>283</v>
      </c>
      <c r="D572" s="386"/>
      <c r="E572" s="100">
        <f>MAX(MAIN!E23,E500)/1000</f>
        <v>-0.034</v>
      </c>
      <c r="F572" s="388"/>
      <c r="G572" s="92"/>
      <c r="H572" s="388"/>
      <c r="I572" s="100">
        <f>MAX(MAIN!F23,I500)/1000</f>
        <v>-0.032</v>
      </c>
      <c r="J572" s="750" t="s">
        <v>331</v>
      </c>
      <c r="K572" s="468"/>
    </row>
    <row r="573" spans="1:11" ht="15.75">
      <c r="A573" s="465"/>
      <c r="B573" s="384" t="s">
        <v>284</v>
      </c>
      <c r="C573" s="385" t="s">
        <v>285</v>
      </c>
      <c r="D573" s="386"/>
      <c r="E573" s="93">
        <f>(E571-Analysis!I298*E572-Analysis!I299)*MAIN!$J$17/1000</f>
        <v>0</v>
      </c>
      <c r="F573" s="386"/>
      <c r="G573" s="93"/>
      <c r="H573" s="386"/>
      <c r="I573" s="93">
        <f>(I571-Analysis!I298*I572-Analysis!I300)*MAIN!$J$17/1000</f>
        <v>0</v>
      </c>
      <c r="J573" s="750"/>
      <c r="K573" s="468"/>
    </row>
    <row r="574" spans="1:11" ht="15.75">
      <c r="A574" s="465"/>
      <c r="B574" s="384" t="s">
        <v>117</v>
      </c>
      <c r="C574" s="385" t="s">
        <v>11</v>
      </c>
      <c r="D574" s="386"/>
      <c r="E574" s="95">
        <f>1000*E573/$I495/E500</f>
        <v>0</v>
      </c>
      <c r="F574" s="386"/>
      <c r="G574" s="95"/>
      <c r="H574" s="386"/>
      <c r="I574" s="95">
        <f>1000*I573/$I495/I500</f>
        <v>0</v>
      </c>
      <c r="J574" s="750" t="s">
        <v>326</v>
      </c>
      <c r="K574" s="468"/>
    </row>
    <row r="575" spans="1:11" ht="15.75">
      <c r="A575" s="465"/>
      <c r="B575" s="384" t="s">
        <v>118</v>
      </c>
      <c r="C575" s="385" t="s">
        <v>11</v>
      </c>
      <c r="D575" s="386"/>
      <c r="E575" s="95" t="e">
        <f>0.632*MAX(1,400/E500)^0.25*MIN(3,100*MAX(E542,E557)/$I495/E500)^0.3333333*(MIN(MAIN!$C$11,40)/25)^0.3333333*IF(MAIN!$C$14&lt;20,0.8,1)</f>
        <v>#VALUE!</v>
      </c>
      <c r="F575" s="386"/>
      <c r="G575" s="95" t="str">
        <f>G483</f>
        <v>NOMINAL</v>
      </c>
      <c r="H575" s="386"/>
      <c r="I575" s="95" t="e">
        <f>0.632*MAX(1,400/I500)^0.25*MIN(3,100*MAX(I542,I557)/$I495/I500)^0.3333333*(MIN(MAIN!$C$11,40)/25)^0.3333333*IF(MAIN!$C$14&lt;20,0.8,1)</f>
        <v>#VALUE!</v>
      </c>
      <c r="J575" s="750" t="s">
        <v>287</v>
      </c>
      <c r="K575" s="468"/>
    </row>
    <row r="576" spans="1:11" ht="15.75">
      <c r="A576" s="465"/>
      <c r="B576" s="384" t="s">
        <v>329</v>
      </c>
      <c r="C576" s="385" t="s">
        <v>286</v>
      </c>
      <c r="D576" s="386"/>
      <c r="E576" s="94" t="e">
        <f>MAX(0.4,E574-E575)*$I495</f>
        <v>#VALUE!</v>
      </c>
      <c r="F576" s="390"/>
      <c r="G576" s="94">
        <f>L$87*I495</f>
        <v>0.00014</v>
      </c>
      <c r="H576" s="390"/>
      <c r="I576" s="94" t="e">
        <f>MAX(0.4,I574-I575)*$I495</f>
        <v>#VALUE!</v>
      </c>
      <c r="J576" s="750" t="s">
        <v>324</v>
      </c>
      <c r="K576" s="468"/>
    </row>
    <row r="577" spans="1:11" ht="15.75">
      <c r="A577" s="465"/>
      <c r="B577" s="384" t="s">
        <v>119</v>
      </c>
      <c r="C577" s="385" t="s">
        <v>13</v>
      </c>
      <c r="D577" s="386"/>
      <c r="E577" s="80">
        <f>SPANS!I138</f>
        <v>6</v>
      </c>
      <c r="F577" s="52"/>
      <c r="G577" s="80">
        <f>E577</f>
        <v>6</v>
      </c>
      <c r="H577" s="52"/>
      <c r="I577" s="80">
        <f>E577</f>
        <v>6</v>
      </c>
      <c r="J577" s="750" t="s">
        <v>288</v>
      </c>
      <c r="K577" s="468"/>
    </row>
    <row r="578" spans="1:11" ht="15.75">
      <c r="A578" s="465"/>
      <c r="B578" s="384" t="s">
        <v>289</v>
      </c>
      <c r="C578" s="385" t="s">
        <v>13</v>
      </c>
      <c r="D578" s="386"/>
      <c r="E578" s="96" t="e">
        <f>FLOOR(MIN(0.75*E500,0.75*G500,PI()/2*E577^2*MAIN!$C$13/MAIN!$F$12/E576,IF(E526&gt;0,12*E555,600)),5)</f>
        <v>#VALUE!</v>
      </c>
      <c r="F578" s="386"/>
      <c r="G578" s="96">
        <f>K13</f>
        <v>1200</v>
      </c>
      <c r="H578" s="386"/>
      <c r="I578" s="96" t="e">
        <f>FLOOR(MIN(0.75*I500,0.75*G500,PI()/2*I577^2*MAIN!$C$13/MAIN!$F$12/I576,IF(I526&gt;0,12*I555,600)),5)</f>
        <v>#VALUE!</v>
      </c>
      <c r="J578" s="750" t="s">
        <v>290</v>
      </c>
      <c r="K578" s="468"/>
    </row>
    <row r="579" spans="1:11" ht="15.75">
      <c r="A579" s="465"/>
      <c r="B579" s="384" t="s">
        <v>291</v>
      </c>
      <c r="C579" s="385" t="s">
        <v>13</v>
      </c>
      <c r="D579" s="386"/>
      <c r="E579" s="80" t="e">
        <f>CEILING(MAX(0,(1000*E573-E575*$I495*E500)/Analysis!$F281),E578)</f>
        <v>#VALUE!</v>
      </c>
      <c r="F579" s="386"/>
      <c r="G579" s="80" t="e">
        <f>CEILING(MAX(0,1000*(G494-E572-I572)-50-E579-I579-2*G578),G578)</f>
        <v>#VALUE!</v>
      </c>
      <c r="H579" s="386"/>
      <c r="I579" s="80" t="e">
        <f>CEILING(MAX(0,(1000*I573-I575*$I495*I500)/Analysis!$F281),I578)</f>
        <v>#VALUE!</v>
      </c>
      <c r="J579" s="750" t="s">
        <v>292</v>
      </c>
      <c r="K579" s="468"/>
    </row>
    <row r="580" spans="1:11" ht="15.75">
      <c r="A580" s="465"/>
      <c r="B580" s="384" t="s">
        <v>293</v>
      </c>
      <c r="C580" s="385" t="s">
        <v>13</v>
      </c>
      <c r="D580" s="396"/>
      <c r="E580" s="18"/>
      <c r="F580" s="737" t="e">
        <f>IF(G580&gt;MIN(G500,150),"! ! !","ok")</f>
        <v>#VALUE!</v>
      </c>
      <c r="G580" s="80" t="e">
        <f>INT(CEILING(G541-1,1)/2)*(G544+G540)</f>
        <v>#VALUE!</v>
      </c>
      <c r="H580" s="390"/>
      <c r="I580" s="18"/>
      <c r="J580" s="750" t="s">
        <v>294</v>
      </c>
      <c r="K580" s="403" t="e">
        <f>IF(F580="ok","","Too far from link")</f>
        <v>#VALUE!</v>
      </c>
    </row>
    <row r="581" spans="1:11" ht="15.75">
      <c r="A581" s="465"/>
      <c r="B581" s="384" t="s">
        <v>295</v>
      </c>
      <c r="C581" s="385" t="s">
        <v>13</v>
      </c>
      <c r="D581" s="737" t="e">
        <f>IF(E581&gt;150,"FAILS","ok")</f>
        <v>#VALUE!</v>
      </c>
      <c r="E581" s="94" t="e">
        <f>INT(CEILING(E556-1,1)/2)*(E559+E555)</f>
        <v>#VALUE!</v>
      </c>
      <c r="F581" s="737" t="e">
        <f>IF(G581&gt;150,"! ! !","ok")</f>
        <v>#VALUE!</v>
      </c>
      <c r="G581" s="94" t="e">
        <f>INT(CEILING(G556-1,1)/2)*(G559+G555)</f>
        <v>#VALUE!</v>
      </c>
      <c r="H581" s="737" t="e">
        <f>IF(I581&gt;150,"FAILS","ok")</f>
        <v>#VALUE!</v>
      </c>
      <c r="I581" s="94" t="e">
        <f>INT(CEILING(I556-1,1)/2)*(I559+I555)</f>
        <v>#VALUE!</v>
      </c>
      <c r="J581" s="765" t="s">
        <v>296</v>
      </c>
      <c r="K581" s="403" t="e">
        <f>IF(AND(AND(H581="ok",F581="ok"),H581="ok"),"","Too far from link")</f>
        <v>#VALUE!</v>
      </c>
    </row>
    <row r="582" spans="1:11" ht="15.75">
      <c r="A582" s="465"/>
      <c r="B582" s="384"/>
      <c r="C582" s="385"/>
      <c r="D582" s="396"/>
      <c r="E582" s="671"/>
      <c r="F582" s="396"/>
      <c r="G582" s="671"/>
      <c r="H582" s="396"/>
      <c r="I582" s="671"/>
      <c r="J582" s="765"/>
      <c r="K582" s="465"/>
    </row>
    <row r="583" spans="1:11" ht="15.75">
      <c r="A583" s="465"/>
      <c r="B583" s="384"/>
      <c r="C583" s="385"/>
      <c r="D583" s="396"/>
      <c r="E583" s="390"/>
      <c r="F583" s="396"/>
      <c r="G583" s="390"/>
      <c r="H583" s="396"/>
      <c r="I583" s="390"/>
      <c r="J583" s="662"/>
      <c r="K583" s="465"/>
    </row>
    <row r="584" spans="1:11" ht="15.75">
      <c r="A584" s="465"/>
      <c r="B584" s="384"/>
      <c r="C584" s="385"/>
      <c r="D584" s="396"/>
      <c r="E584" s="390"/>
      <c r="F584" s="396"/>
      <c r="G584" s="390"/>
      <c r="H584" s="396"/>
      <c r="I584" s="390"/>
      <c r="J584" s="662"/>
      <c r="K584" s="465"/>
    </row>
    <row r="585" spans="1:11" ht="15.75">
      <c r="A585" s="465"/>
      <c r="B585" s="384"/>
      <c r="C585" s="385"/>
      <c r="D585" s="396"/>
      <c r="E585" s="390"/>
      <c r="F585" s="396"/>
      <c r="G585" s="390"/>
      <c r="H585" s="396"/>
      <c r="I585" s="390"/>
      <c r="J585" s="662"/>
      <c r="K585" s="465"/>
    </row>
    <row r="586" spans="1:11" ht="15.75">
      <c r="A586" s="465"/>
      <c r="B586" s="384"/>
      <c r="C586" s="385"/>
      <c r="D586" s="396"/>
      <c r="E586" s="390"/>
      <c r="F586" s="396"/>
      <c r="G586" s="390"/>
      <c r="H586" s="396"/>
      <c r="I586" s="390"/>
      <c r="J586" s="662"/>
      <c r="K586" s="465"/>
    </row>
    <row r="587" spans="1:11" ht="16.5" thickBot="1">
      <c r="A587" s="465"/>
      <c r="B587" s="400"/>
      <c r="C587" s="401"/>
      <c r="D587" s="402"/>
      <c r="E587" s="401"/>
      <c r="F587" s="402"/>
      <c r="G587" s="401"/>
      <c r="H587" s="402"/>
      <c r="I587" s="401"/>
      <c r="J587" s="672"/>
      <c r="K587" s="465"/>
    </row>
    <row r="588" spans="1:11" ht="16.5" thickTop="1">
      <c r="A588" s="465"/>
      <c r="B588" s="465"/>
      <c r="C588" s="465"/>
      <c r="D588" s="465"/>
      <c r="E588" s="465"/>
      <c r="F588" s="465"/>
      <c r="G588" s="465"/>
      <c r="H588" s="465"/>
      <c r="I588" s="465"/>
      <c r="J588" s="465"/>
      <c r="K588" s="465"/>
    </row>
    <row r="589" spans="1:11" ht="15.75">
      <c r="A589" s="465"/>
      <c r="B589" s="465"/>
      <c r="C589" s="465"/>
      <c r="D589" s="465"/>
      <c r="E589" s="465"/>
      <c r="F589" s="465"/>
      <c r="G589" s="465"/>
      <c r="H589" s="465"/>
      <c r="I589" s="465"/>
      <c r="J589" s="465"/>
      <c r="K589" s="465"/>
    </row>
    <row r="590" spans="1:11" ht="15.75">
      <c r="A590" s="465"/>
      <c r="B590" s="465"/>
      <c r="C590" s="465"/>
      <c r="D590" s="465"/>
      <c r="E590" s="465"/>
      <c r="F590" s="465"/>
      <c r="G590" s="465"/>
      <c r="H590" s="465"/>
      <c r="I590" s="465"/>
      <c r="J590" s="465"/>
      <c r="K590" s="465"/>
    </row>
    <row r="591" spans="1:11" ht="15.75">
      <c r="A591" s="465"/>
      <c r="B591" s="465"/>
      <c r="C591" s="465"/>
      <c r="D591" s="465"/>
      <c r="E591" s="465"/>
      <c r="F591" s="465"/>
      <c r="G591" s="465"/>
      <c r="H591" s="465"/>
      <c r="I591" s="465"/>
      <c r="J591" s="465"/>
      <c r="K591" s="465"/>
    </row>
  </sheetData>
  <sheetProtection sheet="1" objects="1" scenarios="1"/>
  <conditionalFormatting sqref="K45 K48 K580:K581 K60 K63 K65:K71 K78 K91:K95 K141 K144 K50:K51 K156 K159 K161 K168 K545:K546 K239 K242 K146:K147 K254 K257 K259:K268 K275 K288:K292 K341 K344 K244:K245 K356 K359 K361 K368 K381:K394 K439 K442 K346:K347 K454 K457 K459:K468 K475 K488:K492 K540 K543 K444:K445 K555 K558 K560 K567 K181:K195">
    <cfRule type="cellIs" priority="1" dxfId="1" operator="equal" stopIfTrue="1">
      <formula>""</formula>
    </cfRule>
  </conditionalFormatting>
  <conditionalFormatting sqref="D45 D48 D50:D57 D60 D63 F45 H45 F48 H48 H50:H57 F60 F63 H60 H63 D267 D400 F50:F57 F78 H78 D92:D95 F91:F95 H92:H95 H65 F65 D65 D136 D336 D467 D535 F400 H400 D70">
    <cfRule type="cellIs" priority="2" dxfId="1" operator="equal" stopIfTrue="1">
      <formula>"ok"</formula>
    </cfRule>
  </conditionalFormatting>
  <conditionalFormatting sqref="D495 D202 D295 D402 I331 E331 D98:J131 G184:G195 G262 I184:I195 E184:E195 I262 E262 G395 I395 E395 G331 D566 D274 D367 D474 D139:E183 F145:F183 F139:F143 G139:J183">
    <cfRule type="expression" priority="3" dxfId="0" stopIfTrue="1">
      <formula>$G$97=0</formula>
    </cfRule>
  </conditionalFormatting>
  <conditionalFormatting sqref="I490:I492 I204:I260 E490:E492 G490:G492 D204:D261 E204:E260 F204:F261 G204:G260 H204:H261 E72:H72 I329 D329:D330 E329 F329:F330 G329 H329:H330 D337:D338 I337:I338 E338:H338 I383:I393 D383:D394 E383:E393 F383:F394 G383:G393 H383:H394 I460 D460:D461 E460 F460:F461 G460 H460:H461 D468:D469 I468:I469 E469:H469 I529 D529:D530 E529 F529:F530 G529 H529:H530 D536:D537 I536:I537 E537:H537 E583:E586 D582:D587 F583:F587 G583:G586 H583:H587 I583:I586 E582:I582 D137:D138 I137:I138 E138:H138 D71:D72 I71:I72 I268:I292 D268:D273 D275:D292 F269:F292 H269:H292 G269:G273 E277:E292 G277:G292 F566 E269:E272">
    <cfRule type="expression" priority="4" dxfId="0" stopIfTrue="1">
      <formula>$G$201=0</formula>
    </cfRule>
  </conditionalFormatting>
  <conditionalFormatting sqref="D368:D382 H339:I382 D339:D366 E370:G382 E339:G365">
    <cfRule type="expression" priority="5" dxfId="16" stopIfTrue="1">
      <formula>$G$294=0</formula>
    </cfRule>
  </conditionalFormatting>
  <conditionalFormatting sqref="D475:D492 E477:E489 G477:G489 H470:H492 D462:I462 D404:I459 D470:D473 F477:F492 E470:G472 I470:I489">
    <cfRule type="expression" priority="6" dxfId="16" stopIfTrue="1">
      <formula>$G$401=0</formula>
    </cfRule>
  </conditionalFormatting>
  <conditionalFormatting sqref="H538:I581 D538:G565 D567:D581 E568:E581 F567:F581 G568:G581">
    <cfRule type="expression" priority="7" dxfId="16" stopIfTrue="1">
      <formula>$G$494=0</formula>
    </cfRule>
  </conditionalFormatting>
  <conditionalFormatting sqref="D497:I528">
    <cfRule type="expression" priority="8" dxfId="0" stopIfTrue="1">
      <formula>$G$494=0</formula>
    </cfRule>
  </conditionalFormatting>
  <conditionalFormatting sqref="D297:I328">
    <cfRule type="expression" priority="9" dxfId="0" stopIfTrue="1">
      <formula>$G$294=0</formula>
    </cfRule>
  </conditionalFormatting>
  <conditionalFormatting sqref="E273:E276 G274:G276 E566:E567 G566:G567">
    <cfRule type="expression" priority="10" dxfId="0" stopIfTrue="1">
      <formula>"g200=0"</formula>
    </cfRule>
  </conditionalFormatting>
  <conditionalFormatting sqref="E366:G369">
    <cfRule type="expression" priority="11" dxfId="0" stopIfTrue="1">
      <formula>"g293=0"</formula>
    </cfRule>
  </conditionalFormatting>
  <conditionalFormatting sqref="E473:G476">
    <cfRule type="expression" priority="12" dxfId="0" stopIfTrue="1">
      <formula>"g400=0"</formula>
    </cfRule>
  </conditionalFormatting>
  <conditionalFormatting sqref="F144">
    <cfRule type="expression" priority="13" dxfId="0" stopIfTrue="1">
      <formula>$G$97=0</formula>
    </cfRule>
  </conditionalFormatting>
  <printOptions horizontalCentered="1"/>
  <pageMargins left="0.6299212598425197" right="0.3937007874015748" top="0.4724409448818898" bottom="0.4724409448818898" header="0" footer="0"/>
  <pageSetup fitToHeight="9" horizontalDpi="300" verticalDpi="300" orientation="portrait" paperSize="9" scale="68" r:id="rId3"/>
  <rowBreaks count="8" manualBreakCount="8">
    <brk id="65" min="1" max="9" man="1"/>
    <brk id="131" min="1" max="9" man="1"/>
    <brk id="195" min="1" max="9" man="1"/>
    <brk id="262" min="1" max="9" man="1"/>
    <brk id="331" min="1" max="9" man="1"/>
    <brk id="395" min="1" max="9" man="1"/>
    <brk id="461" min="1" max="9" man="1"/>
    <brk id="530" min="1" max="9" man="1"/>
  </rowBreaks>
  <drawing r:id="rId2"/>
  <legacyDrawing r:id="rId1"/>
</worksheet>
</file>

<file path=xl/worksheets/sheet7.xml><?xml version="1.0" encoding="utf-8"?>
<worksheet xmlns="http://schemas.openxmlformats.org/spreadsheetml/2006/main" xmlns:r="http://schemas.openxmlformats.org/officeDocument/2006/relationships">
  <sheetPr codeName="Sheet7"/>
  <dimension ref="A1:AO391"/>
  <sheetViews>
    <sheetView showGridLines="0" zoomScale="75" zoomScaleNormal="75" workbookViewId="0" topLeftCell="A1">
      <selection activeCell="A1" sqref="A1"/>
    </sheetView>
  </sheetViews>
  <sheetFormatPr defaultColWidth="9.140625" defaultRowHeight="12.75"/>
  <cols>
    <col min="1" max="1" width="3.7109375" style="0" customWidth="1"/>
    <col min="2" max="2" width="17.8515625" style="0" customWidth="1"/>
  </cols>
  <sheetData>
    <row r="1" spans="1:38" ht="13.5" thickBot="1">
      <c r="A1" s="375"/>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1:38" ht="18">
      <c r="A2" s="375"/>
      <c r="B2" s="539" t="str">
        <f>MAIN!B2</f>
        <v> Project</v>
      </c>
      <c r="C2" s="540" t="str">
        <f>MAIN!C2</f>
        <v>Spreadsheets to BS 8110</v>
      </c>
      <c r="D2" s="541"/>
      <c r="E2" s="542"/>
      <c r="F2" s="542"/>
      <c r="G2" s="542"/>
      <c r="H2" s="541"/>
      <c r="I2" s="541"/>
      <c r="J2" s="541"/>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615"/>
      <c r="AL2" s="375"/>
    </row>
    <row r="3" spans="1:38" ht="18">
      <c r="A3" s="375"/>
      <c r="B3" s="543" t="str">
        <f>MAIN!B4</f>
        <v> Location</v>
      </c>
      <c r="C3" s="544" t="str">
        <f>ACTIONS!$C$4</f>
        <v>3rd Floor slab,  from 1 to 5a</v>
      </c>
      <c r="D3" s="122"/>
      <c r="E3" s="545"/>
      <c r="F3" s="545"/>
      <c r="G3" s="545"/>
      <c r="H3" s="122"/>
      <c r="I3" s="122"/>
      <c r="J3" s="717" t="s">
        <v>420</v>
      </c>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545"/>
      <c r="AJ3" s="545"/>
      <c r="AK3" s="616"/>
      <c r="AL3" s="375"/>
    </row>
    <row r="4" spans="1:38" ht="12.75">
      <c r="A4" s="375"/>
      <c r="B4" s="546"/>
      <c r="C4" s="547" t="str">
        <f>MAIN!C5</f>
        <v>RIBBED SLABS to BS 8110:1997 (Analysis &amp; Design)</v>
      </c>
      <c r="D4" s="122"/>
      <c r="E4" s="545"/>
      <c r="F4" s="545"/>
      <c r="G4" s="545"/>
      <c r="H4" s="122"/>
      <c r="I4" s="122"/>
      <c r="J4" s="122"/>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122"/>
      <c r="AJ4" s="548" t="str">
        <f>ACTIONS!$I$3&amp;"  "&amp;ACTIONS!$I$4&amp;"    "&amp;ACTIONS!$K$5&amp;"  "&amp;ACTIONS!K6</f>
        <v>Made by  rmw    Job No  R68</v>
      </c>
      <c r="AK4" s="616"/>
      <c r="AL4" s="375"/>
    </row>
    <row r="5" spans="1:38" ht="13.5" thickBot="1">
      <c r="A5" s="375"/>
      <c r="B5" s="549"/>
      <c r="C5" s="550" t="str">
        <f>MAIN!D6&amp;MAIN!E6</f>
        <v>Originated from  RCC32.xls v2.2 on CD               © 2000-2003 BCA for RCC</v>
      </c>
      <c r="D5" s="551"/>
      <c r="E5" s="552"/>
      <c r="F5" s="552"/>
      <c r="G5" s="552"/>
      <c r="H5" s="551"/>
      <c r="I5" s="551"/>
      <c r="J5" s="551"/>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3" t="str">
        <f>MAIN!J3</f>
        <v> Date</v>
      </c>
      <c r="AJ5" s="826">
        <f>MAIN!J4</f>
        <v>39305</v>
      </c>
      <c r="AK5" s="827"/>
      <c r="AL5" s="375"/>
    </row>
    <row r="6" spans="1:38" ht="12.75">
      <c r="A6" s="375"/>
      <c r="AL6" s="375"/>
    </row>
    <row r="7" spans="1:38" ht="12.75">
      <c r="A7" s="375"/>
      <c r="AL7" s="375"/>
    </row>
    <row r="8" spans="1:41" ht="18">
      <c r="A8" s="375"/>
      <c r="B8" s="718" t="s">
        <v>297</v>
      </c>
      <c r="C8" s="428"/>
      <c r="D8" s="428"/>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697"/>
      <c r="AM8" s="3"/>
      <c r="AN8" s="3"/>
      <c r="AO8" s="3"/>
    </row>
    <row r="9" spans="1:41" ht="15.75">
      <c r="A9" s="375"/>
      <c r="B9" s="423" t="s">
        <v>304</v>
      </c>
      <c r="C9" s="426">
        <v>0</v>
      </c>
      <c r="D9" s="424">
        <f>SUM(MAIN!C18:C23)</f>
        <v>16.5</v>
      </c>
      <c r="E9" s="423"/>
      <c r="F9" s="427">
        <f>-0.25*MAX(C18:AK18)</f>
        <v>-5.046266666666667</v>
      </c>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697"/>
      <c r="AM9" s="3"/>
      <c r="AN9" s="3"/>
      <c r="AO9" s="3"/>
    </row>
    <row r="10" spans="1:41" ht="15.75">
      <c r="A10" s="375"/>
      <c r="B10" s="423"/>
      <c r="C10" s="423">
        <v>0</v>
      </c>
      <c r="D10" s="423">
        <v>0</v>
      </c>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697"/>
      <c r="AM10" s="3"/>
      <c r="AN10" s="3"/>
      <c r="AO10" s="3"/>
    </row>
    <row r="11" spans="1:41" ht="15.75">
      <c r="A11" s="375"/>
      <c r="B11" s="423" t="s">
        <v>362</v>
      </c>
      <c r="C11" s="426">
        <v>0</v>
      </c>
      <c r="D11" s="424">
        <v>0</v>
      </c>
      <c r="E11" s="423"/>
      <c r="F11" s="426">
        <f>MAIN!$C18</f>
        <v>2</v>
      </c>
      <c r="G11" s="424">
        <f>F11</f>
        <v>2</v>
      </c>
      <c r="H11" s="423"/>
      <c r="I11" s="426">
        <f>MAIN!$C19+F11</f>
        <v>9</v>
      </c>
      <c r="J11" s="424">
        <f>I11</f>
        <v>9</v>
      </c>
      <c r="K11" s="423"/>
      <c r="L11" s="426">
        <f>MAIN!$C20+I11</f>
        <v>16.5</v>
      </c>
      <c r="M11" s="424">
        <f>L11</f>
        <v>16.5</v>
      </c>
      <c r="N11" s="423"/>
      <c r="O11" s="426">
        <f>MAIN!$C21+L11</f>
        <v>16.5</v>
      </c>
      <c r="P11" s="424">
        <f>O11</f>
        <v>16.5</v>
      </c>
      <c r="Q11" s="423"/>
      <c r="R11" s="426">
        <f>MAIN!$C22+O11</f>
        <v>16.5</v>
      </c>
      <c r="S11" s="424">
        <f>R11</f>
        <v>16.5</v>
      </c>
      <c r="T11" s="423"/>
      <c r="U11" s="426">
        <f>MAIN!$C23+R11</f>
        <v>16.5</v>
      </c>
      <c r="V11" s="424">
        <f>U11</f>
        <v>16.5</v>
      </c>
      <c r="W11" s="423"/>
      <c r="X11" s="423"/>
      <c r="Y11" s="423"/>
      <c r="Z11" s="423"/>
      <c r="AA11" s="423"/>
      <c r="AB11" s="423"/>
      <c r="AC11" s="423"/>
      <c r="AD11" s="423"/>
      <c r="AE11" s="423"/>
      <c r="AF11" s="423"/>
      <c r="AG11" s="423"/>
      <c r="AH11" s="423"/>
      <c r="AI11" s="423"/>
      <c r="AJ11" s="423"/>
      <c r="AK11" s="423"/>
      <c r="AL11" s="697"/>
      <c r="AM11" s="3"/>
      <c r="AN11" s="3"/>
      <c r="AO11" s="3"/>
    </row>
    <row r="12" spans="1:41" ht="15.75">
      <c r="A12" s="375"/>
      <c r="B12" s="423"/>
      <c r="C12" s="423">
        <f>IF(MAIN!J21="C",0,F9)</f>
        <v>0</v>
      </c>
      <c r="D12" s="423">
        <v>0</v>
      </c>
      <c r="E12" s="423"/>
      <c r="F12" s="423">
        <f>IF(AND(MAIN!$J22="C",SPANS!$S$2=1),0,$F9)</f>
        <v>-5.046266666666667</v>
      </c>
      <c r="G12" s="423">
        <v>0</v>
      </c>
      <c r="H12" s="423"/>
      <c r="I12" s="423">
        <f>IF(AND(MAIN!$J22="C",SPANS!$S$2=2),0,$F9)</f>
        <v>-5.046266666666667</v>
      </c>
      <c r="J12" s="423">
        <v>0</v>
      </c>
      <c r="K12" s="423"/>
      <c r="L12" s="423">
        <f>IF(AND(MAIN!$J22="C",SPANS!$S$2=3),0,$F9)</f>
        <v>-5.046266666666667</v>
      </c>
      <c r="M12" s="423">
        <v>0</v>
      </c>
      <c r="N12" s="423"/>
      <c r="O12" s="423">
        <f>IF(AND(MAIN!$J22="C",SPANS!$S$2=4),0,$F9)</f>
        <v>-5.046266666666667</v>
      </c>
      <c r="P12" s="423">
        <v>0</v>
      </c>
      <c r="Q12" s="423"/>
      <c r="R12" s="423">
        <f>IF(AND(MAIN!$J22="C",SPANS!$S$2=5),0,$F9)</f>
        <v>-5.046266666666667</v>
      </c>
      <c r="S12" s="423">
        <v>0</v>
      </c>
      <c r="T12" s="423"/>
      <c r="U12" s="423">
        <f>IF(AND(MAIN!$J22="C",SPANS!$S$2=6),0,$F9)</f>
        <v>-5.046266666666667</v>
      </c>
      <c r="V12" s="423">
        <v>0</v>
      </c>
      <c r="W12" s="423"/>
      <c r="X12" s="423"/>
      <c r="Y12" s="423"/>
      <c r="Z12" s="423"/>
      <c r="AA12" s="423"/>
      <c r="AB12" s="423"/>
      <c r="AC12" s="423"/>
      <c r="AD12" s="423"/>
      <c r="AE12" s="423"/>
      <c r="AF12" s="423"/>
      <c r="AG12" s="423"/>
      <c r="AH12" s="423"/>
      <c r="AI12" s="423"/>
      <c r="AJ12" s="423"/>
      <c r="AK12" s="423"/>
      <c r="AL12" s="697"/>
      <c r="AM12" s="3"/>
      <c r="AN12" s="3"/>
      <c r="AO12" s="3"/>
    </row>
    <row r="13" spans="1:41" ht="15.75">
      <c r="A13" s="375"/>
      <c r="B13" s="423" t="s">
        <v>361</v>
      </c>
      <c r="C13" s="426">
        <v>0</v>
      </c>
      <c r="D13" s="425">
        <v>0</v>
      </c>
      <c r="E13" s="425">
        <f>F11</f>
        <v>2</v>
      </c>
      <c r="F13" s="424">
        <f>E13</f>
        <v>2</v>
      </c>
      <c r="G13" s="426">
        <f>F13</f>
        <v>2</v>
      </c>
      <c r="H13" s="425">
        <f>I11</f>
        <v>9</v>
      </c>
      <c r="I13" s="424">
        <f>H13</f>
        <v>9</v>
      </c>
      <c r="J13" s="426">
        <f>I13</f>
        <v>9</v>
      </c>
      <c r="K13" s="425">
        <f>L11</f>
        <v>16.5</v>
      </c>
      <c r="L13" s="424">
        <f>K13</f>
        <v>16.5</v>
      </c>
      <c r="M13" s="426">
        <f>L13</f>
        <v>16.5</v>
      </c>
      <c r="N13" s="425">
        <f>O11</f>
        <v>16.5</v>
      </c>
      <c r="O13" s="424">
        <f>N13</f>
        <v>16.5</v>
      </c>
      <c r="P13" s="426">
        <f>O13</f>
        <v>16.5</v>
      </c>
      <c r="Q13" s="425">
        <f>R11</f>
        <v>16.5</v>
      </c>
      <c r="R13" s="424">
        <f>Q13</f>
        <v>16.5</v>
      </c>
      <c r="S13" s="426">
        <f>R13</f>
        <v>16.5</v>
      </c>
      <c r="T13" s="425">
        <f>U11</f>
        <v>16.5</v>
      </c>
      <c r="U13" s="424">
        <f>T13</f>
        <v>16.5</v>
      </c>
      <c r="V13" s="423"/>
      <c r="W13" s="423"/>
      <c r="X13" s="423"/>
      <c r="Y13" s="423"/>
      <c r="Z13" s="423"/>
      <c r="AA13" s="423"/>
      <c r="AB13" s="423"/>
      <c r="AC13" s="423"/>
      <c r="AD13" s="423"/>
      <c r="AE13" s="423"/>
      <c r="AF13" s="423"/>
      <c r="AG13" s="423"/>
      <c r="AH13" s="423"/>
      <c r="AI13" s="423"/>
      <c r="AJ13" s="423"/>
      <c r="AK13" s="423"/>
      <c r="AL13" s="697"/>
      <c r="AM13" s="3"/>
      <c r="AN13" s="3"/>
      <c r="AO13" s="3"/>
    </row>
    <row r="14" spans="1:41" ht="15.75">
      <c r="A14" s="375"/>
      <c r="B14" s="423" t="s">
        <v>359</v>
      </c>
      <c r="C14" s="423">
        <v>0</v>
      </c>
      <c r="D14" s="429">
        <f>MAIN!C28+MAIN!D28</f>
        <v>8.23369375</v>
      </c>
      <c r="E14" s="423">
        <f>D14</f>
        <v>8.23369375</v>
      </c>
      <c r="F14" s="423">
        <v>0</v>
      </c>
      <c r="G14" s="429">
        <f>MAIN!C32+MAIN!D32</f>
        <v>6.685066666666668</v>
      </c>
      <c r="H14" s="423">
        <f>G14</f>
        <v>6.685066666666668</v>
      </c>
      <c r="I14" s="423">
        <v>0</v>
      </c>
      <c r="J14" s="429">
        <f>MAIN!C36+MAIN!D36</f>
        <v>6.323320185185185</v>
      </c>
      <c r="K14" s="423">
        <f>J14</f>
        <v>6.323320185185185</v>
      </c>
      <c r="L14" s="423">
        <v>0</v>
      </c>
      <c r="M14" s="429">
        <f>MAIN!H28+MAIN!I28</f>
        <v>0</v>
      </c>
      <c r="N14" s="423">
        <f>M14</f>
        <v>0</v>
      </c>
      <c r="O14" s="423">
        <v>0</v>
      </c>
      <c r="P14" s="429">
        <f>MAIN!H32+MAIN!I32</f>
        <v>0</v>
      </c>
      <c r="Q14" s="423">
        <f>P14</f>
        <v>0</v>
      </c>
      <c r="R14" s="423">
        <v>0</v>
      </c>
      <c r="S14" s="429">
        <f>MAIN!H36+MAIN!I36</f>
        <v>0</v>
      </c>
      <c r="T14" s="423">
        <f>S14</f>
        <v>0</v>
      </c>
      <c r="U14" s="423">
        <v>0</v>
      </c>
      <c r="V14" s="423"/>
      <c r="W14" s="423"/>
      <c r="X14" s="423"/>
      <c r="Y14" s="423"/>
      <c r="Z14" s="423"/>
      <c r="AA14" s="423"/>
      <c r="AB14" s="423"/>
      <c r="AC14" s="423"/>
      <c r="AD14" s="423"/>
      <c r="AE14" s="423"/>
      <c r="AF14" s="423"/>
      <c r="AG14" s="423"/>
      <c r="AH14" s="423"/>
      <c r="AI14" s="423"/>
      <c r="AJ14" s="423"/>
      <c r="AK14" s="423"/>
      <c r="AL14" s="697"/>
      <c r="AM14" s="3"/>
      <c r="AN14" s="3"/>
      <c r="AO14" s="3"/>
    </row>
    <row r="15" spans="1:41" ht="15.75">
      <c r="A15" s="375"/>
      <c r="B15" s="423" t="s">
        <v>45</v>
      </c>
      <c r="C15" s="423">
        <f>D14</f>
        <v>8.23369375</v>
      </c>
      <c r="D15" s="429">
        <f>C15+MAIN!E28</f>
        <v>12.23369375</v>
      </c>
      <c r="E15" s="423">
        <f>D15</f>
        <v>12.23369375</v>
      </c>
      <c r="F15" s="423">
        <f>C15</f>
        <v>8.23369375</v>
      </c>
      <c r="G15" s="429">
        <f>G14+MAIN!E32</f>
        <v>10.685066666666668</v>
      </c>
      <c r="H15" s="423">
        <f>G15</f>
        <v>10.685066666666668</v>
      </c>
      <c r="I15" s="423">
        <f>G14</f>
        <v>6.685066666666668</v>
      </c>
      <c r="J15" s="429">
        <f>J14+MAIN!E36</f>
        <v>10.323320185185185</v>
      </c>
      <c r="K15" s="423">
        <f>J15</f>
        <v>10.323320185185185</v>
      </c>
      <c r="L15" s="423">
        <f>J14</f>
        <v>6.323320185185185</v>
      </c>
      <c r="M15" s="429">
        <f>M14+MAIN!J28</f>
        <v>0</v>
      </c>
      <c r="N15" s="423">
        <f>M15</f>
        <v>0</v>
      </c>
      <c r="O15" s="423">
        <f>M14</f>
        <v>0</v>
      </c>
      <c r="P15" s="429">
        <f>P14+MAIN!J32</f>
        <v>0</v>
      </c>
      <c r="Q15" s="423">
        <f>P15</f>
        <v>0</v>
      </c>
      <c r="R15" s="423">
        <f>P14</f>
        <v>0</v>
      </c>
      <c r="S15" s="429">
        <f>S14+MAIN!J36</f>
        <v>0</v>
      </c>
      <c r="T15" s="423">
        <f>S15</f>
        <v>0</v>
      </c>
      <c r="U15" s="423">
        <f>S14</f>
        <v>0</v>
      </c>
      <c r="V15" s="423"/>
      <c r="W15" s="423"/>
      <c r="X15" s="423"/>
      <c r="Y15" s="423"/>
      <c r="Z15" s="423"/>
      <c r="AA15" s="423"/>
      <c r="AB15" s="423"/>
      <c r="AC15" s="423"/>
      <c r="AD15" s="423"/>
      <c r="AE15" s="423"/>
      <c r="AF15" s="423"/>
      <c r="AG15" s="423"/>
      <c r="AH15" s="423"/>
      <c r="AI15" s="423"/>
      <c r="AJ15" s="423"/>
      <c r="AK15" s="423"/>
      <c r="AL15" s="697"/>
      <c r="AM15" s="3"/>
      <c r="AN15" s="3"/>
      <c r="AO15" s="3"/>
    </row>
    <row r="16" spans="1:41" ht="15.75">
      <c r="A16" s="375"/>
      <c r="B16" s="423" t="s">
        <v>360</v>
      </c>
      <c r="C16" s="426">
        <f>MAIN!F29</f>
        <v>0</v>
      </c>
      <c r="D16" s="425">
        <f>C16</f>
        <v>0</v>
      </c>
      <c r="E16" s="425"/>
      <c r="F16" s="425">
        <f>MAIN!F30</f>
        <v>0</v>
      </c>
      <c r="G16" s="424">
        <f>F16</f>
        <v>0</v>
      </c>
      <c r="H16" s="423"/>
      <c r="I16" s="426">
        <f>MAIN!F33+G13</f>
        <v>3.45</v>
      </c>
      <c r="J16" s="425">
        <f>I16</f>
        <v>3.45</v>
      </c>
      <c r="K16" s="425"/>
      <c r="L16" s="425">
        <f>MAIN!F34+G13</f>
        <v>2</v>
      </c>
      <c r="M16" s="424">
        <f>L16</f>
        <v>2</v>
      </c>
      <c r="N16" s="423"/>
      <c r="O16" s="426">
        <f>MAIN!F37+J13</f>
        <v>9</v>
      </c>
      <c r="P16" s="425">
        <f>O16</f>
        <v>9</v>
      </c>
      <c r="Q16" s="425"/>
      <c r="R16" s="425">
        <f>MAIN!F38+J13</f>
        <v>9</v>
      </c>
      <c r="S16" s="424">
        <f>R16</f>
        <v>9</v>
      </c>
      <c r="T16" s="423"/>
      <c r="U16" s="426">
        <f>MAIN!K29+M13</f>
        <v>16.5</v>
      </c>
      <c r="V16" s="425">
        <f>U16</f>
        <v>16.5</v>
      </c>
      <c r="W16" s="425"/>
      <c r="X16" s="425">
        <f>MAIN!K30+M13</f>
        <v>16.5</v>
      </c>
      <c r="Y16" s="424">
        <f>X16</f>
        <v>16.5</v>
      </c>
      <c r="Z16" s="423"/>
      <c r="AA16" s="426">
        <f>MAIN!K33+P13</f>
        <v>16.5</v>
      </c>
      <c r="AB16" s="425">
        <f>AA16</f>
        <v>16.5</v>
      </c>
      <c r="AC16" s="425"/>
      <c r="AD16" s="425">
        <f>MAIN!K34+P13</f>
        <v>16.5</v>
      </c>
      <c r="AE16" s="424">
        <f>AD16</f>
        <v>16.5</v>
      </c>
      <c r="AF16" s="423"/>
      <c r="AG16" s="426">
        <f>MAIN!K37+S13</f>
        <v>16.5</v>
      </c>
      <c r="AH16" s="425">
        <f>AG16</f>
        <v>16.5</v>
      </c>
      <c r="AI16" s="425"/>
      <c r="AJ16" s="425">
        <f>MAIN!K38+S13</f>
        <v>16.5</v>
      </c>
      <c r="AK16" s="424">
        <f>AJ16</f>
        <v>16.5</v>
      </c>
      <c r="AL16" s="697"/>
      <c r="AM16" s="3"/>
      <c r="AN16" s="3"/>
      <c r="AO16" s="3"/>
    </row>
    <row r="17" spans="1:41" ht="15.75">
      <c r="A17" s="375"/>
      <c r="B17" s="423" t="s">
        <v>359</v>
      </c>
      <c r="C17" s="423">
        <f>D15</f>
        <v>12.23369375</v>
      </c>
      <c r="D17" s="429">
        <f>C17+MAIN!D29</f>
        <v>12.23369375</v>
      </c>
      <c r="E17" s="423"/>
      <c r="F17" s="423">
        <f>C17</f>
        <v>12.23369375</v>
      </c>
      <c r="G17" s="429">
        <f>F17+MAIN!D30</f>
        <v>12.23369375</v>
      </c>
      <c r="H17" s="423"/>
      <c r="I17" s="423">
        <f>H15</f>
        <v>10.685066666666668</v>
      </c>
      <c r="J17" s="429">
        <f>I17+MAIN!D33</f>
        <v>19.185066666666668</v>
      </c>
      <c r="K17" s="423"/>
      <c r="L17" s="423">
        <f>I17</f>
        <v>10.685066666666668</v>
      </c>
      <c r="M17" s="429">
        <f>L17+MAIN!D34</f>
        <v>10.685066666666668</v>
      </c>
      <c r="N17" s="423"/>
      <c r="O17" s="423">
        <f>K15</f>
        <v>10.323320185185185</v>
      </c>
      <c r="P17" s="429">
        <f>O17+MAIN!D37</f>
        <v>10.323320185185185</v>
      </c>
      <c r="Q17" s="423"/>
      <c r="R17" s="423">
        <f>O17</f>
        <v>10.323320185185185</v>
      </c>
      <c r="S17" s="429">
        <f>R17+MAIN!D38</f>
        <v>10.323320185185185</v>
      </c>
      <c r="T17" s="423"/>
      <c r="U17" s="423">
        <f>N15</f>
        <v>0</v>
      </c>
      <c r="V17" s="429">
        <f>U17+MAIN!I29</f>
        <v>0</v>
      </c>
      <c r="W17" s="423"/>
      <c r="X17" s="423">
        <f>U17</f>
        <v>0</v>
      </c>
      <c r="Y17" s="429">
        <f>X17+MAIN!I30</f>
        <v>0</v>
      </c>
      <c r="Z17" s="423"/>
      <c r="AA17" s="423">
        <f>Q15</f>
        <v>0</v>
      </c>
      <c r="AB17" s="429">
        <f>AA17+MAIN!I33</f>
        <v>0</v>
      </c>
      <c r="AC17" s="423"/>
      <c r="AD17" s="423">
        <f>AA17</f>
        <v>0</v>
      </c>
      <c r="AE17" s="429">
        <f>AD17+MAIN!I34</f>
        <v>0</v>
      </c>
      <c r="AF17" s="423"/>
      <c r="AG17" s="423">
        <f>T15</f>
        <v>0</v>
      </c>
      <c r="AH17" s="429">
        <f>AG17+MAIN!I37</f>
        <v>0</v>
      </c>
      <c r="AI17" s="423"/>
      <c r="AJ17" s="423">
        <f>AG17</f>
        <v>0</v>
      </c>
      <c r="AK17" s="429">
        <f>AJ17+MAIN!I38</f>
        <v>0</v>
      </c>
      <c r="AL17" s="697"/>
      <c r="AM17" s="3"/>
      <c r="AN17" s="3"/>
      <c r="AO17" s="3"/>
    </row>
    <row r="18" spans="1:41" ht="15.75">
      <c r="A18" s="375"/>
      <c r="B18" s="423" t="s">
        <v>45</v>
      </c>
      <c r="C18" s="423">
        <f>D17</f>
        <v>12.23369375</v>
      </c>
      <c r="D18" s="429">
        <f>C18+MAIN!E29</f>
        <v>12.23369375</v>
      </c>
      <c r="E18" s="423"/>
      <c r="F18" s="423">
        <f>G17</f>
        <v>12.23369375</v>
      </c>
      <c r="G18" s="429">
        <f>F18+MAIN!E30</f>
        <v>12.23369375</v>
      </c>
      <c r="H18" s="423"/>
      <c r="I18" s="423">
        <f>J17</f>
        <v>19.185066666666668</v>
      </c>
      <c r="J18" s="429">
        <f>I18+MAIN!E33</f>
        <v>20.185066666666668</v>
      </c>
      <c r="K18" s="423"/>
      <c r="L18" s="423">
        <f>M17</f>
        <v>10.685066666666668</v>
      </c>
      <c r="M18" s="429">
        <f>L18+MAIN!E34</f>
        <v>10.685066666666668</v>
      </c>
      <c r="N18" s="423"/>
      <c r="O18" s="423">
        <f>P17</f>
        <v>10.323320185185185</v>
      </c>
      <c r="P18" s="429">
        <f>O18+MAIN!E37</f>
        <v>10.323320185185185</v>
      </c>
      <c r="Q18" s="423"/>
      <c r="R18" s="423">
        <f>S17</f>
        <v>10.323320185185185</v>
      </c>
      <c r="S18" s="429">
        <f>R18+MAIN!E38</f>
        <v>10.323320185185185</v>
      </c>
      <c r="T18" s="423"/>
      <c r="U18" s="423">
        <f>V17</f>
        <v>0</v>
      </c>
      <c r="V18" s="429">
        <f>U18+MAIN!J29</f>
        <v>0</v>
      </c>
      <c r="W18" s="423"/>
      <c r="X18" s="423">
        <f>Y17</f>
        <v>0</v>
      </c>
      <c r="Y18" s="429">
        <f>X18+MAIN!J30</f>
        <v>0</v>
      </c>
      <c r="Z18" s="423"/>
      <c r="AA18" s="423">
        <f>AB17</f>
        <v>0</v>
      </c>
      <c r="AB18" s="429">
        <f>AA18+MAIN!J33</f>
        <v>0</v>
      </c>
      <c r="AC18" s="423"/>
      <c r="AD18" s="423">
        <f>AE17</f>
        <v>0</v>
      </c>
      <c r="AE18" s="429">
        <f>AD18+MAIN!J34</f>
        <v>0</v>
      </c>
      <c r="AF18" s="423"/>
      <c r="AG18" s="423">
        <f>AH17</f>
        <v>0</v>
      </c>
      <c r="AH18" s="429">
        <f>AG18+MAIN!J37</f>
        <v>0</v>
      </c>
      <c r="AI18" s="423"/>
      <c r="AJ18" s="423">
        <f>AK17</f>
        <v>0</v>
      </c>
      <c r="AK18" s="429">
        <f>AJ18+MAIN!J38</f>
        <v>0</v>
      </c>
      <c r="AL18" s="697"/>
      <c r="AM18" s="3"/>
      <c r="AN18" s="3"/>
      <c r="AO18" s="3"/>
    </row>
    <row r="19" spans="1:41" ht="18">
      <c r="A19" s="375"/>
      <c r="B19" s="718" t="s">
        <v>299</v>
      </c>
      <c r="C19" s="4"/>
      <c r="D19" s="4"/>
      <c r="E19" s="3"/>
      <c r="F19" s="3"/>
      <c r="G19" s="4"/>
      <c r="H19" s="3"/>
      <c r="I19" s="4"/>
      <c r="J19" s="4"/>
      <c r="K19" s="3"/>
      <c r="L19" s="3"/>
      <c r="M19" s="3"/>
      <c r="N19" s="3"/>
      <c r="O19" s="3"/>
      <c r="P19" s="3"/>
      <c r="Q19" s="4"/>
      <c r="R19" s="4"/>
      <c r="S19" s="3"/>
      <c r="T19" s="4"/>
      <c r="U19" s="4"/>
      <c r="V19" s="3"/>
      <c r="W19" s="4"/>
      <c r="X19" s="3"/>
      <c r="Y19" s="3"/>
      <c r="Z19" s="3"/>
      <c r="AA19" s="3"/>
      <c r="AB19" s="4"/>
      <c r="AC19" s="3"/>
      <c r="AD19" s="3"/>
      <c r="AE19" s="4"/>
      <c r="AF19" s="4"/>
      <c r="AG19" s="3"/>
      <c r="AH19" s="4"/>
      <c r="AI19" s="3"/>
      <c r="AJ19" s="3"/>
      <c r="AK19" s="3"/>
      <c r="AL19" s="697"/>
      <c r="AM19" s="3"/>
      <c r="AN19" s="3"/>
      <c r="AO19" s="3"/>
    </row>
    <row r="20" spans="1:41" ht="15.75">
      <c r="A20" s="375"/>
      <c r="B20" s="770" t="s">
        <v>47</v>
      </c>
      <c r="C20" s="4"/>
      <c r="D20" s="4"/>
      <c r="E20" s="3"/>
      <c r="F20" s="3"/>
      <c r="G20" s="4"/>
      <c r="H20" s="3"/>
      <c r="I20" s="4"/>
      <c r="J20" s="4"/>
      <c r="K20" s="3"/>
      <c r="L20" s="3"/>
      <c r="M20" s="3"/>
      <c r="N20" s="3"/>
      <c r="O20" s="3"/>
      <c r="P20" s="3"/>
      <c r="Q20" s="4"/>
      <c r="R20" s="4"/>
      <c r="S20" s="3"/>
      <c r="T20" s="4"/>
      <c r="U20" s="4"/>
      <c r="V20" s="3"/>
      <c r="W20" s="4"/>
      <c r="X20" s="109" t="s">
        <v>300</v>
      </c>
      <c r="Y20" s="109"/>
      <c r="Z20" s="3"/>
      <c r="AA20" s="3"/>
      <c r="AB20" s="4"/>
      <c r="AC20" s="3"/>
      <c r="AD20" s="3"/>
      <c r="AE20" s="4"/>
      <c r="AF20" s="4"/>
      <c r="AG20" s="3"/>
      <c r="AH20" s="4"/>
      <c r="AI20" s="3"/>
      <c r="AJ20" s="3"/>
      <c r="AK20" s="3"/>
      <c r="AL20" s="697"/>
      <c r="AM20" s="3"/>
      <c r="AN20" s="3"/>
      <c r="AO20" s="3"/>
    </row>
    <row r="21" spans="1:41" ht="15.75">
      <c r="A21" s="375"/>
      <c r="B21" s="102" t="s">
        <v>298</v>
      </c>
      <c r="C21" s="86">
        <v>0</v>
      </c>
      <c r="D21" s="86">
        <f>0.05*MAIN!C18</f>
        <v>0.1</v>
      </c>
      <c r="E21" s="86">
        <f>2*D21</f>
        <v>0.2</v>
      </c>
      <c r="F21" s="86">
        <f aca="true" t="shared" si="0" ref="F21:W21">E21+$D21</f>
        <v>0.30000000000000004</v>
      </c>
      <c r="G21" s="86">
        <f t="shared" si="0"/>
        <v>0.4</v>
      </c>
      <c r="H21" s="86">
        <f t="shared" si="0"/>
        <v>0.5</v>
      </c>
      <c r="I21" s="86">
        <f t="shared" si="0"/>
        <v>0.6</v>
      </c>
      <c r="J21" s="86">
        <f t="shared" si="0"/>
        <v>0.7</v>
      </c>
      <c r="K21" s="86">
        <f t="shared" si="0"/>
        <v>0.7999999999999999</v>
      </c>
      <c r="L21" s="86">
        <f t="shared" si="0"/>
        <v>0.8999999999999999</v>
      </c>
      <c r="M21" s="86">
        <f t="shared" si="0"/>
        <v>0.9999999999999999</v>
      </c>
      <c r="N21" s="86">
        <f t="shared" si="0"/>
        <v>1.0999999999999999</v>
      </c>
      <c r="O21" s="86">
        <f t="shared" si="0"/>
        <v>1.2</v>
      </c>
      <c r="P21" s="86">
        <f t="shared" si="0"/>
        <v>1.3</v>
      </c>
      <c r="Q21" s="86">
        <f t="shared" si="0"/>
        <v>1.4000000000000001</v>
      </c>
      <c r="R21" s="86">
        <f t="shared" si="0"/>
        <v>1.5000000000000002</v>
      </c>
      <c r="S21" s="86">
        <f t="shared" si="0"/>
        <v>1.6000000000000003</v>
      </c>
      <c r="T21" s="86">
        <f t="shared" si="0"/>
        <v>1.7000000000000004</v>
      </c>
      <c r="U21" s="86">
        <f t="shared" si="0"/>
        <v>1.8000000000000005</v>
      </c>
      <c r="V21" s="86">
        <f t="shared" si="0"/>
        <v>1.9000000000000006</v>
      </c>
      <c r="W21" s="86">
        <f t="shared" si="0"/>
        <v>2.0000000000000004</v>
      </c>
      <c r="X21" s="110">
        <f>MAIN!E18/1000</f>
        <v>0.45</v>
      </c>
      <c r="Y21" s="110">
        <f>W21-MAIN!F18/1000</f>
        <v>0.9000000000000004</v>
      </c>
      <c r="Z21" s="3"/>
      <c r="AA21" s="3"/>
      <c r="AB21" s="4"/>
      <c r="AC21" s="3"/>
      <c r="AD21" s="3"/>
      <c r="AE21" s="4"/>
      <c r="AF21" s="4"/>
      <c r="AG21" s="3"/>
      <c r="AH21" s="4"/>
      <c r="AI21" s="3"/>
      <c r="AJ21" s="3"/>
      <c r="AK21" s="3"/>
      <c r="AL21" s="697"/>
      <c r="AM21" s="3"/>
      <c r="AN21" s="3"/>
      <c r="AO21" s="3"/>
    </row>
    <row r="22" spans="1:41" ht="15.75">
      <c r="A22" s="375"/>
      <c r="B22" s="106" t="s">
        <v>301</v>
      </c>
      <c r="C22" s="103">
        <f>Analysis!D179</f>
        <v>0</v>
      </c>
      <c r="D22" s="103">
        <f>-Analysis!$D167*D$21+Analysis!$F170*D$21^2/2+IF(D$21&gt;Analysis!$F173,Analysis!$G170*(D$21-Analysis!$F173),0)+IF(D$21&gt;Analysis!$H173,Analysis!$H170*(D$21-Analysis!$H173),0)+$C22</f>
        <v>0.08963585625000002</v>
      </c>
      <c r="E22" s="103">
        <f>-Analysis!$D167*E$21+Analysis!$F170*E$21^2/2+IF(E$21&gt;Analysis!$F173,Analysis!$G170*(E$21-Analysis!$F173),0)+IF(E$21&gt;Analysis!$H173,Analysis!$H170*(E$21-Analysis!$H173),0)+$C22</f>
        <v>0.3585434250000001</v>
      </c>
      <c r="F22" s="103">
        <f>-Analysis!$D167*F$21+Analysis!$F170*F$21^2/2+IF(F$21&gt;Analysis!$F173,Analysis!$G170*(F$21-Analysis!$F173),0)+IF(F$21&gt;Analysis!$H173,Analysis!$H170*(F$21-Analysis!$H173),0)+$C22</f>
        <v>0.8067227062500002</v>
      </c>
      <c r="G22" s="103">
        <f>-Analysis!$D167*G$21+Analysis!$F170*G$21^2/2+IF(G$21&gt;Analysis!$F173,Analysis!$G170*(G$21-Analysis!$F173),0)+IF(G$21&gt;Analysis!$H173,Analysis!$H170*(G$21-Analysis!$H173),0)+$C22</f>
        <v>1.4341737000000003</v>
      </c>
      <c r="H22" s="103">
        <f>-Analysis!$D167*H$21+Analysis!$F170*H$21^2/2+IF(H$21&gt;Analysis!$F173,Analysis!$G170*(H$21-Analysis!$F173),0)+IF(H$21&gt;Analysis!$H173,Analysis!$H170*(H$21-Analysis!$H173),0)+$C22</f>
        <v>2.24089640625</v>
      </c>
      <c r="I22" s="103">
        <f>-Analysis!$D167*I$21+Analysis!$F170*I$21^2/2+IF(I$21&gt;Analysis!$F173,Analysis!$G170*(I$21-Analysis!$F173),0)+IF(I$21&gt;Analysis!$H173,Analysis!$H170*(I$21-Analysis!$H173),0)+$C22</f>
        <v>3.226890825</v>
      </c>
      <c r="J22" s="103">
        <f>-Analysis!$D167*J$21+Analysis!$F170*J$21^2/2+IF(J$21&gt;Analysis!$F173,Analysis!$G170*(J$21-Analysis!$F173),0)+IF(J$21&gt;Analysis!$H173,Analysis!$H170*(J$21-Analysis!$H173),0)+$C22</f>
        <v>4.39215695625</v>
      </c>
      <c r="K22" s="103">
        <f>-Analysis!$D167*K$21+Analysis!$F170*K$21^2/2+IF(K$21&gt;Analysis!$F173,Analysis!$G170*(K$21-Analysis!$F173),0)+IF(K$21&gt;Analysis!$H173,Analysis!$H170*(K$21-Analysis!$H173),0)+$C22</f>
        <v>5.7366947999999995</v>
      </c>
      <c r="L22" s="103">
        <f>-Analysis!$D167*L$21+Analysis!$F170*L$21^2/2+IF(L$21&gt;Analysis!$F173,Analysis!$G170*(L$21-Analysis!$F173),0)+IF(L$21&gt;Analysis!$H173,Analysis!$H170*(L$21-Analysis!$H173),0)+$C22</f>
        <v>7.2605043562499985</v>
      </c>
      <c r="M22" s="103">
        <f>-Analysis!$D167*M$21+Analysis!$F170*M$21^2/2+IF(M$21&gt;Analysis!$F173,Analysis!$G170*(M$21-Analysis!$F173),0)+IF(M$21&gt;Analysis!$H173,Analysis!$H170*(M$21-Analysis!$H173),0)+$C22</f>
        <v>8.963585624999999</v>
      </c>
      <c r="N22" s="103">
        <f>-Analysis!$D167*N$21+Analysis!$F170*N$21^2/2+IF(N$21&gt;Analysis!$F173,Analysis!$G170*(N$21-Analysis!$F173),0)+IF(N$21&gt;Analysis!$H173,Analysis!$H170*(N$21-Analysis!$H173),0)+$C22</f>
        <v>10.845938606249998</v>
      </c>
      <c r="O22" s="103">
        <f>-Analysis!$D167*O$21+Analysis!$F170*O$21^2/2+IF(O$21&gt;Analysis!$F173,Analysis!$G170*(O$21-Analysis!$F173),0)+IF(O$21&gt;Analysis!$H173,Analysis!$H170*(O$21-Analysis!$H173),0)+$C22</f>
        <v>12.9075633</v>
      </c>
      <c r="P22" s="103">
        <f>-Analysis!$D167*P$21+Analysis!$F170*P$21^2/2+IF(P$21&gt;Analysis!$F173,Analysis!$G170*(P$21-Analysis!$F173),0)+IF(P$21&gt;Analysis!$H173,Analysis!$H170*(P$21-Analysis!$H173),0)+$C22</f>
        <v>15.148459706250001</v>
      </c>
      <c r="Q22" s="103">
        <f>-Analysis!$D167*Q$21+Analysis!$F170*Q$21^2/2+IF(Q$21&gt;Analysis!$F173,Analysis!$G170*(Q$21-Analysis!$F173),0)+IF(Q$21&gt;Analysis!$H173,Analysis!$H170*(Q$21-Analysis!$H173),0)+$C22</f>
        <v>17.568627825000004</v>
      </c>
      <c r="R22" s="103">
        <f>-Analysis!$D167*R$21+Analysis!$F170*R$21^2/2+IF(R$21&gt;Analysis!$F173,Analysis!$G170*(R$21-Analysis!$F173),0)+IF(R$21&gt;Analysis!$H173,Analysis!$H170*(R$21-Analysis!$H173),0)+$C22</f>
        <v>20.16806765625001</v>
      </c>
      <c r="S22" s="103">
        <f>-Analysis!$D167*S$21+Analysis!$F170*S$21^2/2+IF(S$21&gt;Analysis!$F173,Analysis!$G170*(S$21-Analysis!$F173),0)+IF(S$21&gt;Analysis!$H173,Analysis!$H170*(S$21-Analysis!$H173),0)+$C22</f>
        <v>22.94677920000001</v>
      </c>
      <c r="T22" s="103">
        <f>-Analysis!$D167*T$21+Analysis!$F170*T$21^2/2+IF(T$21&gt;Analysis!$F173,Analysis!$G170*(T$21-Analysis!$F173),0)+IF(T$21&gt;Analysis!$H173,Analysis!$H170*(T$21-Analysis!$H173),0)+$C22</f>
        <v>25.904762456250015</v>
      </c>
      <c r="U22" s="103">
        <f>-Analysis!$D167*U$21+Analysis!$F170*U$21^2/2+IF(U$21&gt;Analysis!$F173,Analysis!$G170*(U$21-Analysis!$F173),0)+IF(U$21&gt;Analysis!$H173,Analysis!$H170*(U$21-Analysis!$H173),0)+$C22</f>
        <v>29.042017425000015</v>
      </c>
      <c r="V22" s="103">
        <f>-Analysis!$D167*V$21+Analysis!$F170*V$21^2/2+IF(V$21&gt;Analysis!$F173,Analysis!$G170*(V$21-Analysis!$F173),0)+IF(V$21&gt;Analysis!$H173,Analysis!$H170*(V$21-Analysis!$H173),0)+$C22</f>
        <v>32.35854410625002</v>
      </c>
      <c r="W22" s="103">
        <f>Analysis!J179</f>
        <v>35.8543425</v>
      </c>
      <c r="X22" s="103">
        <f>-Analysis!$D167*X$21+Analysis!$F170*X$21^2/2+IF(X$21&gt;Analysis!$F173,Analysis!$G170*(X$21-Analysis!$F173),0)+IF(X$21&gt;Analysis!$H173,Analysis!$H170*(X$21-Analysis!$H173),0)+$C22</f>
        <v>1.8151260890625003</v>
      </c>
      <c r="Y22" s="103">
        <f>-Analysis!$D167*Y$21+Analysis!$F170*Y$21^2/2+IF(Y$21&gt;Analysis!$F173,Analysis!$G170*(Y$21-Analysis!$F173),0)+IF(Y$21&gt;Analysis!$H173,Analysis!$H170*(Y$21-Analysis!$H173),0)+$C22</f>
        <v>7.260504356250006</v>
      </c>
      <c r="Z22" s="3"/>
      <c r="AA22" s="3"/>
      <c r="AB22" s="4"/>
      <c r="AC22" s="3"/>
      <c r="AD22" s="3"/>
      <c r="AE22" s="4"/>
      <c r="AF22" s="4"/>
      <c r="AG22" s="3"/>
      <c r="AH22" s="4"/>
      <c r="AI22" s="3"/>
      <c r="AJ22" s="3"/>
      <c r="AK22" s="3"/>
      <c r="AL22" s="697"/>
      <c r="AM22" s="3"/>
      <c r="AN22" s="3"/>
      <c r="AO22" s="3"/>
    </row>
    <row r="23" spans="1:41" ht="15.75">
      <c r="A23" s="375"/>
      <c r="B23" s="106" t="s">
        <v>302</v>
      </c>
      <c r="C23" s="103">
        <f>Analysis!D180</f>
        <v>0</v>
      </c>
      <c r="D23" s="103">
        <f>-Analysis!$D168*D$21+Analysis!$F171*D$21^2/2+IF(D$21&gt;Analysis!$F174,Analysis!$G171*(D$21-Analysis!$F174),0)+IF(D$21&gt;Analysis!$H174,Analysis!$H171*(D$21-Analysis!$H174),0)+$C23</f>
        <v>0.08963585625000002</v>
      </c>
      <c r="E23" s="103">
        <f>-Analysis!$D168*E$21+Analysis!$F171*E$21^2/2+IF(E$21&gt;Analysis!$F174,Analysis!$G171*(E$21-Analysis!$F174),0)+IF(E$21&gt;Analysis!$H174,Analysis!$H171*(E$21-Analysis!$H174),0)+$C23</f>
        <v>0.3585434250000001</v>
      </c>
      <c r="F23" s="103">
        <f>-Analysis!$D168*F$21+Analysis!$F171*F$21^2/2+IF(F$21&gt;Analysis!$F174,Analysis!$G171*(F$21-Analysis!$F174),0)+IF(F$21&gt;Analysis!$H174,Analysis!$H171*(F$21-Analysis!$H174),0)+$C23</f>
        <v>0.8067227062500002</v>
      </c>
      <c r="G23" s="103">
        <f>-Analysis!$D168*G$21+Analysis!$F171*G$21^2/2+IF(G$21&gt;Analysis!$F174,Analysis!$G171*(G$21-Analysis!$F174),0)+IF(G$21&gt;Analysis!$H174,Analysis!$H171*(G$21-Analysis!$H174),0)+$C23</f>
        <v>1.4341737000000003</v>
      </c>
      <c r="H23" s="103">
        <f>-Analysis!$D168*H$21+Analysis!$F171*H$21^2/2+IF(H$21&gt;Analysis!$F174,Analysis!$G171*(H$21-Analysis!$F174),0)+IF(H$21&gt;Analysis!$H174,Analysis!$H171*(H$21-Analysis!$H174),0)+$C23</f>
        <v>2.24089640625</v>
      </c>
      <c r="I23" s="103">
        <f>-Analysis!$D168*I$21+Analysis!$F171*I$21^2/2+IF(I$21&gt;Analysis!$F174,Analysis!$G171*(I$21-Analysis!$F174),0)+IF(I$21&gt;Analysis!$H174,Analysis!$H171*(I$21-Analysis!$H174),0)+$C23</f>
        <v>3.226890825</v>
      </c>
      <c r="J23" s="103">
        <f>-Analysis!$D168*J$21+Analysis!$F171*J$21^2/2+IF(J$21&gt;Analysis!$F174,Analysis!$G171*(J$21-Analysis!$F174),0)+IF(J$21&gt;Analysis!$H174,Analysis!$H171*(J$21-Analysis!$H174),0)+$C23</f>
        <v>4.39215695625</v>
      </c>
      <c r="K23" s="103">
        <f>-Analysis!$D168*K$21+Analysis!$F171*K$21^2/2+IF(K$21&gt;Analysis!$F174,Analysis!$G171*(K$21-Analysis!$F174),0)+IF(K$21&gt;Analysis!$H174,Analysis!$H171*(K$21-Analysis!$H174),0)+$C23</f>
        <v>5.7366947999999995</v>
      </c>
      <c r="L23" s="103">
        <f>-Analysis!$D168*L$21+Analysis!$F171*L$21^2/2+IF(L$21&gt;Analysis!$F174,Analysis!$G171*(L$21-Analysis!$F174),0)+IF(L$21&gt;Analysis!$H174,Analysis!$H171*(L$21-Analysis!$H174),0)+$C23</f>
        <v>7.2605043562499985</v>
      </c>
      <c r="M23" s="103">
        <f>-Analysis!$D168*M$21+Analysis!$F171*M$21^2/2+IF(M$21&gt;Analysis!$F174,Analysis!$G171*(M$21-Analysis!$F174),0)+IF(M$21&gt;Analysis!$H174,Analysis!$H171*(M$21-Analysis!$H174),0)+$C23</f>
        <v>8.963585624999999</v>
      </c>
      <c r="N23" s="103">
        <f>-Analysis!$D168*N$21+Analysis!$F171*N$21^2/2+IF(N$21&gt;Analysis!$F174,Analysis!$G171*(N$21-Analysis!$F174),0)+IF(N$21&gt;Analysis!$H174,Analysis!$H171*(N$21-Analysis!$H174),0)+$C23</f>
        <v>10.845938606249998</v>
      </c>
      <c r="O23" s="103">
        <f>-Analysis!$D168*O$21+Analysis!$F171*O$21^2/2+IF(O$21&gt;Analysis!$F174,Analysis!$G171*(O$21-Analysis!$F174),0)+IF(O$21&gt;Analysis!$H174,Analysis!$H171*(O$21-Analysis!$H174),0)+$C23</f>
        <v>12.9075633</v>
      </c>
      <c r="P23" s="103">
        <f>-Analysis!$D168*P$21+Analysis!$F171*P$21^2/2+IF(P$21&gt;Analysis!$F174,Analysis!$G171*(P$21-Analysis!$F174),0)+IF(P$21&gt;Analysis!$H174,Analysis!$H171*(P$21-Analysis!$H174),0)+$C23</f>
        <v>15.148459706250001</v>
      </c>
      <c r="Q23" s="103">
        <f>-Analysis!$D168*Q$21+Analysis!$F171*Q$21^2/2+IF(Q$21&gt;Analysis!$F174,Analysis!$G171*(Q$21-Analysis!$F174),0)+IF(Q$21&gt;Analysis!$H174,Analysis!$H171*(Q$21-Analysis!$H174),0)+$C23</f>
        <v>17.568627825000004</v>
      </c>
      <c r="R23" s="103">
        <f>-Analysis!$D168*R$21+Analysis!$F171*R$21^2/2+IF(R$21&gt;Analysis!$F174,Analysis!$G171*(R$21-Analysis!$F174),0)+IF(R$21&gt;Analysis!$H174,Analysis!$H171*(R$21-Analysis!$H174),0)+$C23</f>
        <v>20.16806765625001</v>
      </c>
      <c r="S23" s="103">
        <f>-Analysis!$D168*S$21+Analysis!$F171*S$21^2/2+IF(S$21&gt;Analysis!$F174,Analysis!$G171*(S$21-Analysis!$F174),0)+IF(S$21&gt;Analysis!$H174,Analysis!$H171*(S$21-Analysis!$H174),0)+$C23</f>
        <v>22.94677920000001</v>
      </c>
      <c r="T23" s="103">
        <f>-Analysis!$D168*T$21+Analysis!$F171*T$21^2/2+IF(T$21&gt;Analysis!$F174,Analysis!$G171*(T$21-Analysis!$F174),0)+IF(T$21&gt;Analysis!$H174,Analysis!$H171*(T$21-Analysis!$H174),0)+$C23</f>
        <v>25.904762456250015</v>
      </c>
      <c r="U23" s="103">
        <f>-Analysis!$D168*U$21+Analysis!$F171*U$21^2/2+IF(U$21&gt;Analysis!$F174,Analysis!$G171*(U$21-Analysis!$F174),0)+IF(U$21&gt;Analysis!$H174,Analysis!$H171*(U$21-Analysis!$H174),0)+$C23</f>
        <v>29.042017425000015</v>
      </c>
      <c r="V23" s="103">
        <f>-Analysis!$D168*V$21+Analysis!$F171*V$21^2/2+IF(V$21&gt;Analysis!$F174,Analysis!$G171*(V$21-Analysis!$F174),0)+IF(V$21&gt;Analysis!$H174,Analysis!$H171*(V$21-Analysis!$H174),0)+$C23</f>
        <v>32.35854410625002</v>
      </c>
      <c r="W23" s="103">
        <f>Analysis!J180</f>
        <v>35.8543425</v>
      </c>
      <c r="X23" s="103">
        <f>-Analysis!$D168*X$21+Analysis!$F171*X$21^2/2+IF(X$21&gt;Analysis!$F174,Analysis!$G171*(X$21-Analysis!$F174),0)+IF(X$21&gt;Analysis!$H174,Analysis!$H171*(X$21-Analysis!$H174),0)+$C23</f>
        <v>1.8151260890625003</v>
      </c>
      <c r="Y23" s="103">
        <f>-Analysis!$D168*Y$21+Analysis!$F171*Y$21^2/2+IF(Y$21&gt;Analysis!$F174,Analysis!$G171*(Y$21-Analysis!$F174),0)+IF(Y$21&gt;Analysis!$H174,Analysis!$H171*(Y$21-Analysis!$H174),0)+$C23</f>
        <v>7.260504356250006</v>
      </c>
      <c r="Z23" s="3"/>
      <c r="AA23" s="3"/>
      <c r="AB23" s="4"/>
      <c r="AC23" s="3"/>
      <c r="AD23" s="3"/>
      <c r="AE23" s="4"/>
      <c r="AF23" s="4"/>
      <c r="AG23" s="3"/>
      <c r="AH23" s="4"/>
      <c r="AI23" s="3"/>
      <c r="AJ23" s="3"/>
      <c r="AK23" s="3"/>
      <c r="AL23" s="697"/>
      <c r="AM23" s="3"/>
      <c r="AN23" s="3"/>
      <c r="AO23" s="3"/>
    </row>
    <row r="24" spans="1:41" ht="15.75">
      <c r="A24" s="375"/>
      <c r="B24" s="106" t="s">
        <v>303</v>
      </c>
      <c r="C24" s="103">
        <f>Analysis!D181</f>
        <v>0</v>
      </c>
      <c r="D24" s="103">
        <f>-Analysis!$D169*D$21+Analysis!$F172*D$21^2/2+IF(D$21&gt;Analysis!$F175,Analysis!$G172*(D$21-Analysis!$F175),0)+IF(D$21&gt;Analysis!$H175,Analysis!$H172*(D$21-Analysis!$H175),0)+$C24</f>
        <v>0.04116846875000001</v>
      </c>
      <c r="E24" s="103">
        <f>-Analysis!$D169*E$21+Analysis!$F172*E$21^2/2+IF(E$21&gt;Analysis!$F175,Analysis!$G172*(E$21-Analysis!$F175),0)+IF(E$21&gt;Analysis!$H175,Analysis!$H172*(E$21-Analysis!$H175),0)+$C24</f>
        <v>0.16467387500000005</v>
      </c>
      <c r="F24" s="103">
        <f>-Analysis!$D169*F$21+Analysis!$F172*F$21^2/2+IF(F$21&gt;Analysis!$F175,Analysis!$G172*(F$21-Analysis!$F175),0)+IF(F$21&gt;Analysis!$H175,Analysis!$H172*(F$21-Analysis!$H175),0)+$C24</f>
        <v>0.3705162187500001</v>
      </c>
      <c r="G24" s="103">
        <f>-Analysis!$D169*G$21+Analysis!$F172*G$21^2/2+IF(G$21&gt;Analysis!$F175,Analysis!$G172*(G$21-Analysis!$F175),0)+IF(G$21&gt;Analysis!$H175,Analysis!$H172*(G$21-Analysis!$H175),0)+$C24</f>
        <v>0.6586955000000002</v>
      </c>
      <c r="H24" s="103">
        <f>-Analysis!$D169*H$21+Analysis!$F172*H$21^2/2+IF(H$21&gt;Analysis!$F175,Analysis!$G172*(H$21-Analysis!$F175),0)+IF(H$21&gt;Analysis!$H175,Analysis!$H172*(H$21-Analysis!$H175),0)+$C24</f>
        <v>1.02921171875</v>
      </c>
      <c r="I24" s="103">
        <f>-Analysis!$D169*I$21+Analysis!$F172*I$21^2/2+IF(I$21&gt;Analysis!$F175,Analysis!$G172*(I$21-Analysis!$F175),0)+IF(I$21&gt;Analysis!$H175,Analysis!$H172*(I$21-Analysis!$H175),0)+$C24</f>
        <v>1.482064875</v>
      </c>
      <c r="J24" s="103">
        <f>-Analysis!$D169*J$21+Analysis!$F172*J$21^2/2+IF(J$21&gt;Analysis!$F175,Analysis!$G172*(J$21-Analysis!$F175),0)+IF(J$21&gt;Analysis!$H175,Analysis!$H172*(J$21-Analysis!$H175),0)+$C24</f>
        <v>2.0172549687499997</v>
      </c>
      <c r="K24" s="103">
        <f>-Analysis!$D169*K$21+Analysis!$F172*K$21^2/2+IF(K$21&gt;Analysis!$F175,Analysis!$G172*(K$21-Analysis!$F175),0)+IF(K$21&gt;Analysis!$H175,Analysis!$H172*(K$21-Analysis!$H175),0)+$C24</f>
        <v>2.634782</v>
      </c>
      <c r="L24" s="103">
        <f>-Analysis!$D169*L$21+Analysis!$F172*L$21^2/2+IF(L$21&gt;Analysis!$F175,Analysis!$G172*(L$21-Analysis!$F175),0)+IF(L$21&gt;Analysis!$H175,Analysis!$H172*(L$21-Analysis!$H175),0)+$C24</f>
        <v>3.3346459687499994</v>
      </c>
      <c r="M24" s="103">
        <f>-Analysis!$D169*M$21+Analysis!$F172*M$21^2/2+IF(M$21&gt;Analysis!$F175,Analysis!$G172*(M$21-Analysis!$F175),0)+IF(M$21&gt;Analysis!$H175,Analysis!$H172*(M$21-Analysis!$H175),0)+$C24</f>
        <v>4.116846874999999</v>
      </c>
      <c r="N24" s="103">
        <f>-Analysis!$D169*N$21+Analysis!$F172*N$21^2/2+IF(N$21&gt;Analysis!$F175,Analysis!$G172*(N$21-Analysis!$F175),0)+IF(N$21&gt;Analysis!$H175,Analysis!$H172*(N$21-Analysis!$H175),0)+$C24</f>
        <v>4.981384718749999</v>
      </c>
      <c r="O24" s="103">
        <f>-Analysis!$D169*O$21+Analysis!$F172*O$21^2/2+IF(O$21&gt;Analysis!$F175,Analysis!$G172*(O$21-Analysis!$F175),0)+IF(O$21&gt;Analysis!$H175,Analysis!$H172*(O$21-Analysis!$H175),0)+$C24</f>
        <v>5.9282595</v>
      </c>
      <c r="P24" s="103">
        <f>-Analysis!$D169*P$21+Analysis!$F172*P$21^2/2+IF(P$21&gt;Analysis!$F175,Analysis!$G172*(P$21-Analysis!$F175),0)+IF(P$21&gt;Analysis!$H175,Analysis!$H172*(P$21-Analysis!$H175),0)+$C24</f>
        <v>6.957471218750001</v>
      </c>
      <c r="Q24" s="103">
        <f>-Analysis!$D169*Q$21+Analysis!$F172*Q$21^2/2+IF(Q$21&gt;Analysis!$F175,Analysis!$G172*(Q$21-Analysis!$F175),0)+IF(Q$21&gt;Analysis!$H175,Analysis!$H172*(Q$21-Analysis!$H175),0)+$C24</f>
        <v>8.069019875000002</v>
      </c>
      <c r="R24" s="103">
        <f>-Analysis!$D169*R$21+Analysis!$F172*R$21^2/2+IF(R$21&gt;Analysis!$F175,Analysis!$G172*(R$21-Analysis!$F175),0)+IF(R$21&gt;Analysis!$H175,Analysis!$H172*(R$21-Analysis!$H175),0)+$C24</f>
        <v>9.262905468750004</v>
      </c>
      <c r="S24" s="103">
        <f>-Analysis!$D169*S$21+Analysis!$F172*S$21^2/2+IF(S$21&gt;Analysis!$F175,Analysis!$G172*(S$21-Analysis!$F175),0)+IF(S$21&gt;Analysis!$H175,Analysis!$H172*(S$21-Analysis!$H175),0)+$C24</f>
        <v>10.539128000000005</v>
      </c>
      <c r="T24" s="103">
        <f>-Analysis!$D169*T$21+Analysis!$F172*T$21^2/2+IF(T$21&gt;Analysis!$F175,Analysis!$G172*(T$21-Analysis!$F175),0)+IF(T$21&gt;Analysis!$H175,Analysis!$H172*(T$21-Analysis!$H175),0)+$C24</f>
        <v>11.897687468750007</v>
      </c>
      <c r="U24" s="103">
        <f>-Analysis!$D169*U$21+Analysis!$F172*U$21^2/2+IF(U$21&gt;Analysis!$F175,Analysis!$G172*(U$21-Analysis!$F175),0)+IF(U$21&gt;Analysis!$H175,Analysis!$H172*(U$21-Analysis!$H175),0)+$C24</f>
        <v>13.338583875000007</v>
      </c>
      <c r="V24" s="103">
        <f>-Analysis!$D169*V$21+Analysis!$F172*V$21^2/2+IF(V$21&gt;Analysis!$F175,Analysis!$G172*(V$21-Analysis!$F175),0)+IF(V$21&gt;Analysis!$H175,Analysis!$H172*(V$21-Analysis!$H175),0)+$C24</f>
        <v>14.861817218750009</v>
      </c>
      <c r="W24" s="103">
        <f>Analysis!J181</f>
        <v>16.4673875</v>
      </c>
      <c r="X24" s="103">
        <f>-Analysis!$D169*X$21+Analysis!$F172*X$21^2/2+IF(X$21&gt;Analysis!$F175,Analysis!$G172*(X$21-Analysis!$F175),0)+IF(X$21&gt;Analysis!$H175,Analysis!$H172*(X$21-Analysis!$H175),0)+$C24</f>
        <v>0.8336614921875001</v>
      </c>
      <c r="Y24" s="103">
        <f>-Analysis!$D169*Y$21+Analysis!$F172*Y$21^2/2+IF(Y$21&gt;Analysis!$F175,Analysis!$G172*(Y$21-Analysis!$F175),0)+IF(Y$21&gt;Analysis!$H175,Analysis!$H172*(Y$21-Analysis!$H175),0)+$C24</f>
        <v>3.3346459687500025</v>
      </c>
      <c r="Z24" s="3"/>
      <c r="AA24" s="3"/>
      <c r="AB24" s="4"/>
      <c r="AC24" s="3"/>
      <c r="AD24" s="3"/>
      <c r="AE24" s="4"/>
      <c r="AF24" s="4"/>
      <c r="AG24" s="3"/>
      <c r="AH24" s="4"/>
      <c r="AI24" s="3"/>
      <c r="AJ24" s="3"/>
      <c r="AK24" s="3"/>
      <c r="AL24" s="697"/>
      <c r="AM24" s="3"/>
      <c r="AN24" s="3"/>
      <c r="AO24" s="3"/>
    </row>
    <row r="25" spans="1:41" ht="15.75">
      <c r="A25" s="375"/>
      <c r="B25" s="107" t="s">
        <v>304</v>
      </c>
      <c r="C25" s="104">
        <v>0</v>
      </c>
      <c r="D25" s="104">
        <v>0</v>
      </c>
      <c r="E25" s="104">
        <v>0</v>
      </c>
      <c r="F25" s="104">
        <v>0</v>
      </c>
      <c r="G25" s="104">
        <v>0</v>
      </c>
      <c r="H25" s="104">
        <v>0</v>
      </c>
      <c r="I25" s="104">
        <v>0</v>
      </c>
      <c r="J25" s="104">
        <v>0</v>
      </c>
      <c r="K25" s="104">
        <v>0</v>
      </c>
      <c r="L25" s="104">
        <v>0</v>
      </c>
      <c r="M25" s="104">
        <v>0</v>
      </c>
      <c r="N25" s="104">
        <v>0</v>
      </c>
      <c r="O25" s="104">
        <v>0</v>
      </c>
      <c r="P25" s="104">
        <v>0</v>
      </c>
      <c r="Q25" s="104">
        <v>0</v>
      </c>
      <c r="R25" s="104">
        <v>0</v>
      </c>
      <c r="S25" s="104">
        <v>0</v>
      </c>
      <c r="T25" s="104">
        <v>0</v>
      </c>
      <c r="U25" s="104">
        <v>0</v>
      </c>
      <c r="V25" s="104">
        <v>0</v>
      </c>
      <c r="W25" s="104">
        <v>0</v>
      </c>
      <c r="X25" s="104"/>
      <c r="Y25" s="104"/>
      <c r="Z25" s="3"/>
      <c r="AA25" s="3"/>
      <c r="AB25" s="4"/>
      <c r="AC25" s="3"/>
      <c r="AD25" s="3"/>
      <c r="AE25" s="4"/>
      <c r="AF25" s="4"/>
      <c r="AG25" s="3"/>
      <c r="AH25" s="4"/>
      <c r="AI25" s="3"/>
      <c r="AJ25" s="3"/>
      <c r="AK25" s="3"/>
      <c r="AL25" s="697"/>
      <c r="AM25" s="3"/>
      <c r="AN25" s="3"/>
      <c r="AO25" s="3"/>
    </row>
    <row r="26" spans="1:41" ht="15.75">
      <c r="A26" s="375"/>
      <c r="B26" s="108" t="s">
        <v>305</v>
      </c>
      <c r="C26" s="105">
        <f>Analysis!D182</f>
        <v>0</v>
      </c>
      <c r="D26" s="105">
        <f>-Analysis!$D170*D$21+Analysis!$F170*D$21^2/2+IF(D$21&gt;Analysis!$F176,Analysis!$G170*(D$21-Analysis!$F176),0)+IF(D$21&gt;Analysis!$H176,Analysis!$H170*(D$21-Analysis!$H176),0)+$C26</f>
        <v>0.08963585625000002</v>
      </c>
      <c r="E26" s="105">
        <f>-Analysis!$D170*E$21+Analysis!$F170*E$21^2/2+IF(E$21&gt;Analysis!$F176,Analysis!$G170*(E$21-Analysis!$F176),0)+IF(E$21&gt;Analysis!$H176,Analysis!$H170*(E$21-Analysis!$H176),0)+$C26</f>
        <v>0.3585434250000001</v>
      </c>
      <c r="F26" s="105">
        <f>-Analysis!$D170*F$21+Analysis!$F170*F$21^2/2+IF(F$21&gt;Analysis!$F176,Analysis!$G170*(F$21-Analysis!$F176),0)+IF(F$21&gt;Analysis!$H176,Analysis!$H170*(F$21-Analysis!$H176),0)+$C26</f>
        <v>0.8067227062500002</v>
      </c>
      <c r="G26" s="105">
        <f>-Analysis!$D170*G$21+Analysis!$F170*G$21^2/2+IF(G$21&gt;Analysis!$F176,Analysis!$G170*(G$21-Analysis!$F176),0)+IF(G$21&gt;Analysis!$H176,Analysis!$H170*(G$21-Analysis!$H176),0)+$C26</f>
        <v>1.4341737000000003</v>
      </c>
      <c r="H26" s="105">
        <f>-Analysis!$D170*H$21+Analysis!$F170*H$21^2/2+IF(H$21&gt;Analysis!$F176,Analysis!$G170*(H$21-Analysis!$F176),0)+IF(H$21&gt;Analysis!$H176,Analysis!$H170*(H$21-Analysis!$H176),0)+$C26</f>
        <v>2.24089640625</v>
      </c>
      <c r="I26" s="105">
        <f>-Analysis!$D170*I$21+Analysis!$F170*I$21^2/2+IF(I$21&gt;Analysis!$F176,Analysis!$G170*(I$21-Analysis!$F176),0)+IF(I$21&gt;Analysis!$H176,Analysis!$H170*(I$21-Analysis!$H176),0)+$C26</f>
        <v>3.226890825</v>
      </c>
      <c r="J26" s="105">
        <f>-Analysis!$D170*J$21+Analysis!$F170*J$21^2/2+IF(J$21&gt;Analysis!$F176,Analysis!$G170*(J$21-Analysis!$F176),0)+IF(J$21&gt;Analysis!$H176,Analysis!$H170*(J$21-Analysis!$H176),0)+$C26</f>
        <v>4.39215695625</v>
      </c>
      <c r="K26" s="105">
        <f>-Analysis!$D170*K$21+Analysis!$F170*K$21^2/2+IF(K$21&gt;Analysis!$F176,Analysis!$G170*(K$21-Analysis!$F176),0)+IF(K$21&gt;Analysis!$H176,Analysis!$H170*(K$21-Analysis!$H176),0)+$C26</f>
        <v>5.7366947999999995</v>
      </c>
      <c r="L26" s="105">
        <f>-Analysis!$D170*L$21+Analysis!$F170*L$21^2/2+IF(L$21&gt;Analysis!$F176,Analysis!$G170*(L$21-Analysis!$F176),0)+IF(L$21&gt;Analysis!$H176,Analysis!$H170*(L$21-Analysis!$H176),0)+$C26</f>
        <v>7.2605043562499985</v>
      </c>
      <c r="M26" s="105">
        <f>-Analysis!$D170*M$21+Analysis!$F170*M$21^2/2+IF(M$21&gt;Analysis!$F176,Analysis!$G170*(M$21-Analysis!$F176),0)+IF(M$21&gt;Analysis!$H176,Analysis!$H170*(M$21-Analysis!$H176),0)+$C26</f>
        <v>8.963585624999999</v>
      </c>
      <c r="N26" s="105">
        <f>-Analysis!$D170*N$21+Analysis!$F170*N$21^2/2+IF(N$21&gt;Analysis!$F176,Analysis!$G170*(N$21-Analysis!$F176),0)+IF(N$21&gt;Analysis!$H176,Analysis!$H170*(N$21-Analysis!$H176),0)+$C26</f>
        <v>10.845938606249998</v>
      </c>
      <c r="O26" s="105">
        <f>-Analysis!$D170*O$21+Analysis!$F170*O$21^2/2+IF(O$21&gt;Analysis!$F176,Analysis!$G170*(O$21-Analysis!$F176),0)+IF(O$21&gt;Analysis!$H176,Analysis!$H170*(O$21-Analysis!$H176),0)+$C26</f>
        <v>12.9075633</v>
      </c>
      <c r="P26" s="105">
        <f>-Analysis!$D170*P$21+Analysis!$F170*P$21^2/2+IF(P$21&gt;Analysis!$F176,Analysis!$G170*(P$21-Analysis!$F176),0)+IF(P$21&gt;Analysis!$H176,Analysis!$H170*(P$21-Analysis!$H176),0)+$C26</f>
        <v>15.148459706250001</v>
      </c>
      <c r="Q26" s="105">
        <f>-Analysis!$D170*Q$21+Analysis!$F170*Q$21^2/2+IF(Q$21&gt;Analysis!$F176,Analysis!$G170*(Q$21-Analysis!$F176),0)+IF(Q$21&gt;Analysis!$H176,Analysis!$H170*(Q$21-Analysis!$H176),0)+$C26</f>
        <v>17.568627825000004</v>
      </c>
      <c r="R26" s="105">
        <f>-Analysis!$D170*R$21+Analysis!$F170*R$21^2/2+IF(R$21&gt;Analysis!$F176,Analysis!$G170*(R$21-Analysis!$F176),0)+IF(R$21&gt;Analysis!$H176,Analysis!$H170*(R$21-Analysis!$H176),0)+$C26</f>
        <v>20.16806765625001</v>
      </c>
      <c r="S26" s="105">
        <f>-Analysis!$D170*S$21+Analysis!$F170*S$21^2/2+IF(S$21&gt;Analysis!$F176,Analysis!$G170*(S$21-Analysis!$F176),0)+IF(S$21&gt;Analysis!$H176,Analysis!$H170*(S$21-Analysis!$H176),0)+$C26</f>
        <v>22.94677920000001</v>
      </c>
      <c r="T26" s="105">
        <f>-Analysis!$D170*T$21+Analysis!$F170*T$21^2/2+IF(T$21&gt;Analysis!$F176,Analysis!$G170*(T$21-Analysis!$F176),0)+IF(T$21&gt;Analysis!$H176,Analysis!$H170*(T$21-Analysis!$H176),0)+$C26</f>
        <v>25.904762456250015</v>
      </c>
      <c r="U26" s="105">
        <f>-Analysis!$D170*U$21+Analysis!$F170*U$21^2/2+IF(U$21&gt;Analysis!$F176,Analysis!$G170*(U$21-Analysis!$F176),0)+IF(U$21&gt;Analysis!$H176,Analysis!$H170*(U$21-Analysis!$H176),0)+$C26</f>
        <v>29.042017425000015</v>
      </c>
      <c r="V26" s="105">
        <f>-Analysis!$D170*V$21+Analysis!$F170*V$21^2/2+IF(V$21&gt;Analysis!$F176,Analysis!$G170*(V$21-Analysis!$F176),0)+IF(V$21&gt;Analysis!$H176,Analysis!$H170*(V$21-Analysis!$H176),0)+$C26</f>
        <v>32.35854410625002</v>
      </c>
      <c r="W26" s="105">
        <f>Analysis!J182</f>
        <v>35.8543425</v>
      </c>
      <c r="X26" s="105">
        <f>-Analysis!$D170*X$21+Analysis!$F170*X$21^2/2+IF(X$21&gt;Analysis!$F176,Analysis!$G170*(X$21-Analysis!$F176),0)+IF(X$21&gt;Analysis!$H176,Analysis!$H170*(X$21-Analysis!$H176),0)+$C26</f>
        <v>1.8151260890625003</v>
      </c>
      <c r="Y26" s="105">
        <f>-Analysis!$D170*Y$21+Analysis!$F170*Y$21^2/2+IF(Y$21&gt;Analysis!$F176,Analysis!$G170*(Y$21-Analysis!$F176),0)+IF(Y$21&gt;Analysis!$H176,Analysis!$H170*(Y$21-Analysis!$H176),0)+$C26</f>
        <v>7.260504356250006</v>
      </c>
      <c r="Z26" s="3"/>
      <c r="AA26" s="3"/>
      <c r="AB26" s="4"/>
      <c r="AC26" s="3"/>
      <c r="AD26" s="3"/>
      <c r="AE26" s="4"/>
      <c r="AF26" s="4"/>
      <c r="AG26" s="3"/>
      <c r="AH26" s="4"/>
      <c r="AI26" s="3"/>
      <c r="AJ26" s="3"/>
      <c r="AK26" s="3"/>
      <c r="AL26" s="697"/>
      <c r="AM26" s="3"/>
      <c r="AN26" s="3"/>
      <c r="AO26" s="3"/>
    </row>
    <row r="27" spans="1:41" ht="15.75">
      <c r="A27" s="375"/>
      <c r="B27" s="108" t="s">
        <v>306</v>
      </c>
      <c r="C27" s="105">
        <f>Analysis!D183</f>
        <v>0</v>
      </c>
      <c r="D27" s="105">
        <f>-Analysis!$D171*D$21+Analysis!$F171*D$21^2/2+IF(D$21&gt;Analysis!$F177,Analysis!$G171*(D$21-Analysis!$F177),0)+IF(D$21&gt;Analysis!$H177,Analysis!$H171*(D$21-Analysis!$H177),0)+$C27</f>
        <v>0.08963585625000002</v>
      </c>
      <c r="E27" s="105">
        <f>-Analysis!$D171*E$21+Analysis!$F171*E$21^2/2+IF(E$21&gt;Analysis!$F177,Analysis!$G171*(E$21-Analysis!$F177),0)+IF(E$21&gt;Analysis!$H177,Analysis!$H171*(E$21-Analysis!$H177),0)+$C27</f>
        <v>0.3585434250000001</v>
      </c>
      <c r="F27" s="105">
        <f>-Analysis!$D171*F$21+Analysis!$F171*F$21^2/2+IF(F$21&gt;Analysis!$F177,Analysis!$G171*(F$21-Analysis!$F177),0)+IF(F$21&gt;Analysis!$H177,Analysis!$H171*(F$21-Analysis!$H177),0)+$C27</f>
        <v>0.8067227062500002</v>
      </c>
      <c r="G27" s="105">
        <f>-Analysis!$D171*G$21+Analysis!$F171*G$21^2/2+IF(G$21&gt;Analysis!$F177,Analysis!$G171*(G$21-Analysis!$F177),0)+IF(G$21&gt;Analysis!$H177,Analysis!$H171*(G$21-Analysis!$H177),0)+$C27</f>
        <v>1.4341737000000003</v>
      </c>
      <c r="H27" s="105">
        <f>-Analysis!$D171*H$21+Analysis!$F171*H$21^2/2+IF(H$21&gt;Analysis!$F177,Analysis!$G171*(H$21-Analysis!$F177),0)+IF(H$21&gt;Analysis!$H177,Analysis!$H171*(H$21-Analysis!$H177),0)+$C27</f>
        <v>2.24089640625</v>
      </c>
      <c r="I27" s="105">
        <f>-Analysis!$D171*I$21+Analysis!$F171*I$21^2/2+IF(I$21&gt;Analysis!$F177,Analysis!$G171*(I$21-Analysis!$F177),0)+IF(I$21&gt;Analysis!$H177,Analysis!$H171*(I$21-Analysis!$H177),0)+$C27</f>
        <v>3.226890825</v>
      </c>
      <c r="J27" s="105">
        <f>-Analysis!$D171*J$21+Analysis!$F171*J$21^2/2+IF(J$21&gt;Analysis!$F177,Analysis!$G171*(J$21-Analysis!$F177),0)+IF(J$21&gt;Analysis!$H177,Analysis!$H171*(J$21-Analysis!$H177),0)+$C27</f>
        <v>4.39215695625</v>
      </c>
      <c r="K27" s="105">
        <f>-Analysis!$D171*K$21+Analysis!$F171*K$21^2/2+IF(K$21&gt;Analysis!$F177,Analysis!$G171*(K$21-Analysis!$F177),0)+IF(K$21&gt;Analysis!$H177,Analysis!$H171*(K$21-Analysis!$H177),0)+$C27</f>
        <v>5.7366947999999995</v>
      </c>
      <c r="L27" s="105">
        <f>-Analysis!$D171*L$21+Analysis!$F171*L$21^2/2+IF(L$21&gt;Analysis!$F177,Analysis!$G171*(L$21-Analysis!$F177),0)+IF(L$21&gt;Analysis!$H177,Analysis!$H171*(L$21-Analysis!$H177),0)+$C27</f>
        <v>7.2605043562499985</v>
      </c>
      <c r="M27" s="105">
        <f>-Analysis!$D171*M$21+Analysis!$F171*M$21^2/2+IF(M$21&gt;Analysis!$F177,Analysis!$G171*(M$21-Analysis!$F177),0)+IF(M$21&gt;Analysis!$H177,Analysis!$H171*(M$21-Analysis!$H177),0)+$C27</f>
        <v>8.963585624999999</v>
      </c>
      <c r="N27" s="105">
        <f>-Analysis!$D171*N$21+Analysis!$F171*N$21^2/2+IF(N$21&gt;Analysis!$F177,Analysis!$G171*(N$21-Analysis!$F177),0)+IF(N$21&gt;Analysis!$H177,Analysis!$H171*(N$21-Analysis!$H177),0)+$C27</f>
        <v>10.845938606249998</v>
      </c>
      <c r="O27" s="105">
        <f>-Analysis!$D171*O$21+Analysis!$F171*O$21^2/2+IF(O$21&gt;Analysis!$F177,Analysis!$G171*(O$21-Analysis!$F177),0)+IF(O$21&gt;Analysis!$H177,Analysis!$H171*(O$21-Analysis!$H177),0)+$C27</f>
        <v>12.9075633</v>
      </c>
      <c r="P27" s="105">
        <f>-Analysis!$D171*P$21+Analysis!$F171*P$21^2/2+IF(P$21&gt;Analysis!$F177,Analysis!$G171*(P$21-Analysis!$F177),0)+IF(P$21&gt;Analysis!$H177,Analysis!$H171*(P$21-Analysis!$H177),0)+$C27</f>
        <v>15.148459706250001</v>
      </c>
      <c r="Q27" s="105">
        <f>-Analysis!$D171*Q$21+Analysis!$F171*Q$21^2/2+IF(Q$21&gt;Analysis!$F177,Analysis!$G171*(Q$21-Analysis!$F177),0)+IF(Q$21&gt;Analysis!$H177,Analysis!$H171*(Q$21-Analysis!$H177),0)+$C27</f>
        <v>17.568627825000004</v>
      </c>
      <c r="R27" s="105">
        <f>-Analysis!$D171*R$21+Analysis!$F171*R$21^2/2+IF(R$21&gt;Analysis!$F177,Analysis!$G171*(R$21-Analysis!$F177),0)+IF(R$21&gt;Analysis!$H177,Analysis!$H171*(R$21-Analysis!$H177),0)+$C27</f>
        <v>20.16806765625001</v>
      </c>
      <c r="S27" s="105">
        <f>-Analysis!$D171*S$21+Analysis!$F171*S$21^2/2+IF(S$21&gt;Analysis!$F177,Analysis!$G171*(S$21-Analysis!$F177),0)+IF(S$21&gt;Analysis!$H177,Analysis!$H171*(S$21-Analysis!$H177),0)+$C27</f>
        <v>22.94677920000001</v>
      </c>
      <c r="T27" s="105">
        <f>-Analysis!$D171*T$21+Analysis!$F171*T$21^2/2+IF(T$21&gt;Analysis!$F177,Analysis!$G171*(T$21-Analysis!$F177),0)+IF(T$21&gt;Analysis!$H177,Analysis!$H171*(T$21-Analysis!$H177),0)+$C27</f>
        <v>25.904762456250015</v>
      </c>
      <c r="U27" s="105">
        <f>-Analysis!$D171*U$21+Analysis!$F171*U$21^2/2+IF(U$21&gt;Analysis!$F177,Analysis!$G171*(U$21-Analysis!$F177),0)+IF(U$21&gt;Analysis!$H177,Analysis!$H171*(U$21-Analysis!$H177),0)+$C27</f>
        <v>29.042017425000015</v>
      </c>
      <c r="V27" s="105">
        <f>-Analysis!$D171*V$21+Analysis!$F171*V$21^2/2+IF(V$21&gt;Analysis!$F177,Analysis!$G171*(V$21-Analysis!$F177),0)+IF(V$21&gt;Analysis!$H177,Analysis!$H171*(V$21-Analysis!$H177),0)+$C27</f>
        <v>32.35854410625002</v>
      </c>
      <c r="W27" s="105">
        <f>Analysis!J183</f>
        <v>35.8543425</v>
      </c>
      <c r="X27" s="105">
        <f>-Analysis!$D171*X$21+Analysis!$F171*X$21^2/2+IF(X$21&gt;Analysis!$F177,Analysis!$G171*(X$21-Analysis!$F177),0)+IF(X$21&gt;Analysis!$H177,Analysis!$H171*(X$21-Analysis!$H177),0)+$C27</f>
        <v>1.8151260890625003</v>
      </c>
      <c r="Y27" s="105">
        <f>-Analysis!$D171*Y$21+Analysis!$F171*Y$21^2/2+IF(Y$21&gt;Analysis!$F177,Analysis!$G171*(Y$21-Analysis!$F177),0)+IF(Y$21&gt;Analysis!$H177,Analysis!$H171*(Y$21-Analysis!$H177),0)+$C27</f>
        <v>7.260504356250006</v>
      </c>
      <c r="Z27" s="3"/>
      <c r="AA27" s="3"/>
      <c r="AB27" s="4"/>
      <c r="AC27" s="3"/>
      <c r="AD27" s="3"/>
      <c r="AE27" s="4"/>
      <c r="AF27" s="4"/>
      <c r="AG27" s="3"/>
      <c r="AH27" s="4"/>
      <c r="AI27" s="3"/>
      <c r="AJ27" s="3"/>
      <c r="AK27" s="3"/>
      <c r="AL27" s="697"/>
      <c r="AM27" s="3"/>
      <c r="AN27" s="3"/>
      <c r="AO27" s="3"/>
    </row>
    <row r="28" spans="1:41" ht="15.75">
      <c r="A28" s="375"/>
      <c r="B28" s="108" t="s">
        <v>307</v>
      </c>
      <c r="C28" s="105">
        <f>Analysis!D184</f>
        <v>0</v>
      </c>
      <c r="D28" s="105">
        <f>-Analysis!$D172*D$21+Analysis!$F172*D$21^2/2+IF(D$21&gt;Analysis!$F178,Analysis!$G172*(D$21-Analysis!$F178),0)+IF(D$21&gt;Analysis!$H178,Analysis!$H172*(D$21-Analysis!$H178),0)+$C28</f>
        <v>0.04116846875000001</v>
      </c>
      <c r="E28" s="105">
        <f>-Analysis!$D172*E$21+Analysis!$F172*E$21^2/2+IF(E$21&gt;Analysis!$F178,Analysis!$G172*(E$21-Analysis!$F178),0)+IF(E$21&gt;Analysis!$H178,Analysis!$H172*(E$21-Analysis!$H178),0)+$C28</f>
        <v>0.16467387500000005</v>
      </c>
      <c r="F28" s="105">
        <f>-Analysis!$D172*F$21+Analysis!$F172*F$21^2/2+IF(F$21&gt;Analysis!$F178,Analysis!$G172*(F$21-Analysis!$F178),0)+IF(F$21&gt;Analysis!$H178,Analysis!$H172*(F$21-Analysis!$H178),0)+$C28</f>
        <v>0.3705162187500001</v>
      </c>
      <c r="G28" s="105">
        <f>-Analysis!$D172*G$21+Analysis!$F172*G$21^2/2+IF(G$21&gt;Analysis!$F178,Analysis!$G172*(G$21-Analysis!$F178),0)+IF(G$21&gt;Analysis!$H178,Analysis!$H172*(G$21-Analysis!$H178),0)+$C28</f>
        <v>0.6586955000000002</v>
      </c>
      <c r="H28" s="105">
        <f>-Analysis!$D172*H$21+Analysis!$F172*H$21^2/2+IF(H$21&gt;Analysis!$F178,Analysis!$G172*(H$21-Analysis!$F178),0)+IF(H$21&gt;Analysis!$H178,Analysis!$H172*(H$21-Analysis!$H178),0)+$C28</f>
        <v>1.02921171875</v>
      </c>
      <c r="I28" s="105">
        <f>-Analysis!$D172*I$21+Analysis!$F172*I$21^2/2+IF(I$21&gt;Analysis!$F178,Analysis!$G172*(I$21-Analysis!$F178),0)+IF(I$21&gt;Analysis!$H178,Analysis!$H172*(I$21-Analysis!$H178),0)+$C28</f>
        <v>1.482064875</v>
      </c>
      <c r="J28" s="105">
        <f>-Analysis!$D172*J$21+Analysis!$F172*J$21^2/2+IF(J$21&gt;Analysis!$F178,Analysis!$G172*(J$21-Analysis!$F178),0)+IF(J$21&gt;Analysis!$H178,Analysis!$H172*(J$21-Analysis!$H178),0)+$C28</f>
        <v>2.0172549687499997</v>
      </c>
      <c r="K28" s="105">
        <f>-Analysis!$D172*K$21+Analysis!$F172*K$21^2/2+IF(K$21&gt;Analysis!$F178,Analysis!$G172*(K$21-Analysis!$F178),0)+IF(K$21&gt;Analysis!$H178,Analysis!$H172*(K$21-Analysis!$H178),0)+$C28</f>
        <v>2.634782</v>
      </c>
      <c r="L28" s="105">
        <f>-Analysis!$D172*L$21+Analysis!$F172*L$21^2/2+IF(L$21&gt;Analysis!$F178,Analysis!$G172*(L$21-Analysis!$F178),0)+IF(L$21&gt;Analysis!$H178,Analysis!$H172*(L$21-Analysis!$H178),0)+$C28</f>
        <v>3.3346459687499994</v>
      </c>
      <c r="M28" s="105">
        <f>-Analysis!$D172*M$21+Analysis!$F172*M$21^2/2+IF(M$21&gt;Analysis!$F178,Analysis!$G172*(M$21-Analysis!$F178),0)+IF(M$21&gt;Analysis!$H178,Analysis!$H172*(M$21-Analysis!$H178),0)+$C28</f>
        <v>4.116846874999999</v>
      </c>
      <c r="N28" s="105">
        <f>-Analysis!$D172*N$21+Analysis!$F172*N$21^2/2+IF(N$21&gt;Analysis!$F178,Analysis!$G172*(N$21-Analysis!$F178),0)+IF(N$21&gt;Analysis!$H178,Analysis!$H172*(N$21-Analysis!$H178),0)+$C28</f>
        <v>4.981384718749999</v>
      </c>
      <c r="O28" s="105">
        <f>-Analysis!$D172*O$21+Analysis!$F172*O$21^2/2+IF(O$21&gt;Analysis!$F178,Analysis!$G172*(O$21-Analysis!$F178),0)+IF(O$21&gt;Analysis!$H178,Analysis!$H172*(O$21-Analysis!$H178),0)+$C28</f>
        <v>5.9282595</v>
      </c>
      <c r="P28" s="105">
        <f>-Analysis!$D172*P$21+Analysis!$F172*P$21^2/2+IF(P$21&gt;Analysis!$F178,Analysis!$G172*(P$21-Analysis!$F178),0)+IF(P$21&gt;Analysis!$H178,Analysis!$H172*(P$21-Analysis!$H178),0)+$C28</f>
        <v>6.957471218750001</v>
      </c>
      <c r="Q28" s="105">
        <f>-Analysis!$D172*Q$21+Analysis!$F172*Q$21^2/2+IF(Q$21&gt;Analysis!$F178,Analysis!$G172*(Q$21-Analysis!$F178),0)+IF(Q$21&gt;Analysis!$H178,Analysis!$H172*(Q$21-Analysis!$H178),0)+$C28</f>
        <v>8.069019875000002</v>
      </c>
      <c r="R28" s="105">
        <f>-Analysis!$D172*R$21+Analysis!$F172*R$21^2/2+IF(R$21&gt;Analysis!$F178,Analysis!$G172*(R$21-Analysis!$F178),0)+IF(R$21&gt;Analysis!$H178,Analysis!$H172*(R$21-Analysis!$H178),0)+$C28</f>
        <v>9.262905468750004</v>
      </c>
      <c r="S28" s="105">
        <f>-Analysis!$D172*S$21+Analysis!$F172*S$21^2/2+IF(S$21&gt;Analysis!$F178,Analysis!$G172*(S$21-Analysis!$F178),0)+IF(S$21&gt;Analysis!$H178,Analysis!$H172*(S$21-Analysis!$H178),0)+$C28</f>
        <v>10.539128000000005</v>
      </c>
      <c r="T28" s="105">
        <f>-Analysis!$D172*T$21+Analysis!$F172*T$21^2/2+IF(T$21&gt;Analysis!$F178,Analysis!$G172*(T$21-Analysis!$F178),0)+IF(T$21&gt;Analysis!$H178,Analysis!$H172*(T$21-Analysis!$H178),0)+$C28</f>
        <v>11.897687468750007</v>
      </c>
      <c r="U28" s="105">
        <f>-Analysis!$D172*U$21+Analysis!$F172*U$21^2/2+IF(U$21&gt;Analysis!$F178,Analysis!$G172*(U$21-Analysis!$F178),0)+IF(U$21&gt;Analysis!$H178,Analysis!$H172*(U$21-Analysis!$H178),0)+$C28</f>
        <v>13.338583875000007</v>
      </c>
      <c r="V28" s="105">
        <f>-Analysis!$D172*V$21+Analysis!$F172*V$21^2/2+IF(V$21&gt;Analysis!$F178,Analysis!$G172*(V$21-Analysis!$F178),0)+IF(V$21&gt;Analysis!$H178,Analysis!$H172*(V$21-Analysis!$H178),0)+$C28</f>
        <v>14.861817218750009</v>
      </c>
      <c r="W28" s="105">
        <f>Analysis!J184</f>
        <v>16.4673875</v>
      </c>
      <c r="X28" s="105">
        <f>-Analysis!$D172*X$21+Analysis!$F172*X$21^2/2+IF(X$21&gt;Analysis!$F178,Analysis!$G172*(X$21-Analysis!$F178),0)+IF(X$21&gt;Analysis!$H178,Analysis!$H172*(X$21-Analysis!$H178),0)+$C28</f>
        <v>0.8336614921875001</v>
      </c>
      <c r="Y28" s="105">
        <f>-Analysis!$D172*Y$21+Analysis!$F172*Y$21^2/2+IF(Y$21&gt;Analysis!$F178,Analysis!$G172*(Y$21-Analysis!$F178),0)+IF(Y$21&gt;Analysis!$H178,Analysis!$H172*(Y$21-Analysis!$H178),0)+$C28</f>
        <v>3.3346459687500025</v>
      </c>
      <c r="Z28" s="3"/>
      <c r="AA28" s="3"/>
      <c r="AB28" s="4"/>
      <c r="AC28" s="3"/>
      <c r="AD28" s="3"/>
      <c r="AE28" s="4"/>
      <c r="AF28" s="4"/>
      <c r="AG28" s="3"/>
      <c r="AH28" s="4"/>
      <c r="AI28" s="3"/>
      <c r="AJ28" s="3"/>
      <c r="AK28" s="3"/>
      <c r="AL28" s="697"/>
      <c r="AM28" s="3"/>
      <c r="AN28" s="3"/>
      <c r="AO28" s="3"/>
    </row>
    <row r="29" spans="1:41" ht="15.75">
      <c r="A29" s="375"/>
      <c r="B29" s="111" t="s">
        <v>308</v>
      </c>
      <c r="C29" s="112">
        <f aca="true" t="shared" si="1" ref="C29:Y29">0.7*MAX(C22:C24)</f>
        <v>0</v>
      </c>
      <c r="D29" s="112">
        <f t="shared" si="1"/>
        <v>0.06274509937500002</v>
      </c>
      <c r="E29" s="112">
        <f t="shared" si="1"/>
        <v>0.25098039750000006</v>
      </c>
      <c r="F29" s="112">
        <f t="shared" si="1"/>
        <v>0.5647058943750001</v>
      </c>
      <c r="G29" s="112">
        <f t="shared" si="1"/>
        <v>1.0039215900000003</v>
      </c>
      <c r="H29" s="112">
        <f t="shared" si="1"/>
        <v>1.5686274843749999</v>
      </c>
      <c r="I29" s="112">
        <f t="shared" si="1"/>
        <v>2.2588235775</v>
      </c>
      <c r="J29" s="112">
        <f t="shared" si="1"/>
        <v>3.074509869375</v>
      </c>
      <c r="K29" s="112">
        <f t="shared" si="1"/>
        <v>4.015686359999999</v>
      </c>
      <c r="L29" s="112">
        <f t="shared" si="1"/>
        <v>5.082353049374999</v>
      </c>
      <c r="M29" s="112">
        <f t="shared" si="1"/>
        <v>6.274509937499999</v>
      </c>
      <c r="N29" s="112">
        <f t="shared" si="1"/>
        <v>7.592157024374998</v>
      </c>
      <c r="O29" s="112">
        <f t="shared" si="1"/>
        <v>9.03529431</v>
      </c>
      <c r="P29" s="112">
        <f t="shared" si="1"/>
        <v>10.603921794375001</v>
      </c>
      <c r="Q29" s="112">
        <f t="shared" si="1"/>
        <v>12.298039477500001</v>
      </c>
      <c r="R29" s="112">
        <f t="shared" si="1"/>
        <v>14.117647359375006</v>
      </c>
      <c r="S29" s="112">
        <f t="shared" si="1"/>
        <v>16.062745440000004</v>
      </c>
      <c r="T29" s="112">
        <f t="shared" si="1"/>
        <v>18.13333371937501</v>
      </c>
      <c r="U29" s="112">
        <f t="shared" si="1"/>
        <v>20.32941219750001</v>
      </c>
      <c r="V29" s="112">
        <f t="shared" si="1"/>
        <v>22.650980874375016</v>
      </c>
      <c r="W29" s="112">
        <f t="shared" si="1"/>
        <v>25.098039749999998</v>
      </c>
      <c r="X29" s="112">
        <f t="shared" si="1"/>
        <v>1.27058826234375</v>
      </c>
      <c r="Y29" s="112">
        <f t="shared" si="1"/>
        <v>5.082353049375004</v>
      </c>
      <c r="Z29" s="3"/>
      <c r="AA29" s="3"/>
      <c r="AB29" s="4"/>
      <c r="AC29" s="3"/>
      <c r="AD29" s="3"/>
      <c r="AE29" s="4"/>
      <c r="AF29" s="4"/>
      <c r="AG29" s="3"/>
      <c r="AH29" s="4"/>
      <c r="AI29" s="3"/>
      <c r="AJ29" s="3"/>
      <c r="AK29" s="3"/>
      <c r="AL29" s="697"/>
      <c r="AM29" s="3"/>
      <c r="AN29" s="3"/>
      <c r="AO29" s="3"/>
    </row>
    <row r="30" spans="1:41" ht="15.75">
      <c r="A30" s="375"/>
      <c r="B30" s="111" t="s">
        <v>309</v>
      </c>
      <c r="C30" s="112">
        <f aca="true" t="shared" si="2" ref="C30:Y30">0.7*MIN(C22:C24)</f>
        <v>0</v>
      </c>
      <c r="D30" s="112">
        <f t="shared" si="2"/>
        <v>0.028817928125000006</v>
      </c>
      <c r="E30" s="112">
        <f t="shared" si="2"/>
        <v>0.11527171250000003</v>
      </c>
      <c r="F30" s="112">
        <f t="shared" si="2"/>
        <v>0.2593613531250001</v>
      </c>
      <c r="G30" s="112">
        <f t="shared" si="2"/>
        <v>0.4610868500000001</v>
      </c>
      <c r="H30" s="112">
        <f t="shared" si="2"/>
        <v>0.720448203125</v>
      </c>
      <c r="I30" s="112">
        <f t="shared" si="2"/>
        <v>1.0374454124999999</v>
      </c>
      <c r="J30" s="112">
        <f t="shared" si="2"/>
        <v>1.4120784781249998</v>
      </c>
      <c r="K30" s="112">
        <f t="shared" si="2"/>
        <v>1.8443473999999997</v>
      </c>
      <c r="L30" s="112">
        <f t="shared" si="2"/>
        <v>2.3342521781249994</v>
      </c>
      <c r="M30" s="112">
        <f t="shared" si="2"/>
        <v>2.881792812499999</v>
      </c>
      <c r="N30" s="112">
        <f t="shared" si="2"/>
        <v>3.4869693031249995</v>
      </c>
      <c r="O30" s="112">
        <f t="shared" si="2"/>
        <v>4.1497816499999995</v>
      </c>
      <c r="P30" s="112">
        <f t="shared" si="2"/>
        <v>4.870229853125</v>
      </c>
      <c r="Q30" s="112">
        <f t="shared" si="2"/>
        <v>5.648313912500001</v>
      </c>
      <c r="R30" s="112">
        <f t="shared" si="2"/>
        <v>6.4840338281250025</v>
      </c>
      <c r="S30" s="112">
        <f t="shared" si="2"/>
        <v>7.377389600000003</v>
      </c>
      <c r="T30" s="112">
        <f t="shared" si="2"/>
        <v>8.328381228125005</v>
      </c>
      <c r="U30" s="112">
        <f t="shared" si="2"/>
        <v>9.337008712500005</v>
      </c>
      <c r="V30" s="112">
        <f t="shared" si="2"/>
        <v>10.403272053125006</v>
      </c>
      <c r="W30" s="112">
        <f t="shared" si="2"/>
        <v>11.52717125</v>
      </c>
      <c r="X30" s="112">
        <f t="shared" si="2"/>
        <v>0.58356304453125</v>
      </c>
      <c r="Y30" s="112">
        <f t="shared" si="2"/>
        <v>2.3342521781250016</v>
      </c>
      <c r="Z30" s="3"/>
      <c r="AA30" s="3"/>
      <c r="AB30" s="4"/>
      <c r="AC30" s="3"/>
      <c r="AD30" s="3"/>
      <c r="AE30" s="4"/>
      <c r="AF30" s="4"/>
      <c r="AG30" s="3"/>
      <c r="AH30" s="4"/>
      <c r="AI30" s="3"/>
      <c r="AJ30" s="3"/>
      <c r="AK30" s="3"/>
      <c r="AL30" s="697"/>
      <c r="AM30" s="3"/>
      <c r="AN30" s="3"/>
      <c r="AO30" s="3"/>
    </row>
    <row r="31" spans="1:41" ht="15.75">
      <c r="A31" s="375"/>
      <c r="B31" s="113" t="s">
        <v>310</v>
      </c>
      <c r="C31" s="114">
        <f aca="true" t="shared" si="3" ref="C31:W31">MIN(C26:C30,0)</f>
        <v>0</v>
      </c>
      <c r="D31" s="114">
        <f t="shared" si="3"/>
        <v>0</v>
      </c>
      <c r="E31" s="114">
        <f t="shared" si="3"/>
        <v>0</v>
      </c>
      <c r="F31" s="114">
        <f t="shared" si="3"/>
        <v>0</v>
      </c>
      <c r="G31" s="114">
        <f t="shared" si="3"/>
        <v>0</v>
      </c>
      <c r="H31" s="114">
        <f t="shared" si="3"/>
        <v>0</v>
      </c>
      <c r="I31" s="114">
        <f t="shared" si="3"/>
        <v>0</v>
      </c>
      <c r="J31" s="114">
        <f t="shared" si="3"/>
        <v>0</v>
      </c>
      <c r="K31" s="114">
        <f t="shared" si="3"/>
        <v>0</v>
      </c>
      <c r="L31" s="114">
        <f t="shared" si="3"/>
        <v>0</v>
      </c>
      <c r="M31" s="114">
        <f t="shared" si="3"/>
        <v>0</v>
      </c>
      <c r="N31" s="114">
        <f t="shared" si="3"/>
        <v>0</v>
      </c>
      <c r="O31" s="114">
        <f t="shared" si="3"/>
        <v>0</v>
      </c>
      <c r="P31" s="114">
        <f t="shared" si="3"/>
        <v>0</v>
      </c>
      <c r="Q31" s="114">
        <f t="shared" si="3"/>
        <v>0</v>
      </c>
      <c r="R31" s="114">
        <f t="shared" si="3"/>
        <v>0</v>
      </c>
      <c r="S31" s="114">
        <f t="shared" si="3"/>
        <v>0</v>
      </c>
      <c r="T31" s="114">
        <f t="shared" si="3"/>
        <v>0</v>
      </c>
      <c r="U31" s="114">
        <f t="shared" si="3"/>
        <v>0</v>
      </c>
      <c r="V31" s="114">
        <f t="shared" si="3"/>
        <v>0</v>
      </c>
      <c r="W31" s="114">
        <f t="shared" si="3"/>
        <v>0</v>
      </c>
      <c r="X31" s="114"/>
      <c r="Y31" s="114"/>
      <c r="Z31" s="3"/>
      <c r="AA31" s="3"/>
      <c r="AB31" s="4"/>
      <c r="AC31" s="3"/>
      <c r="AD31" s="3"/>
      <c r="AE31" s="4"/>
      <c r="AF31" s="4"/>
      <c r="AG31" s="3"/>
      <c r="AH31" s="4"/>
      <c r="AI31" s="3"/>
      <c r="AJ31" s="3"/>
      <c r="AK31" s="3"/>
      <c r="AL31" s="697"/>
      <c r="AM31" s="3"/>
      <c r="AN31" s="3"/>
      <c r="AO31" s="3"/>
    </row>
    <row r="32" spans="1:41" ht="15.75">
      <c r="A32" s="375"/>
      <c r="B32" s="113" t="s">
        <v>311</v>
      </c>
      <c r="C32" s="114">
        <f aca="true" t="shared" si="4" ref="C32:Y32">MAX(C26:C30,0)</f>
        <v>0</v>
      </c>
      <c r="D32" s="114">
        <f t="shared" si="4"/>
        <v>0.08963585625000002</v>
      </c>
      <c r="E32" s="114">
        <f t="shared" si="4"/>
        <v>0.3585434250000001</v>
      </c>
      <c r="F32" s="114">
        <f t="shared" si="4"/>
        <v>0.8067227062500002</v>
      </c>
      <c r="G32" s="114">
        <f t="shared" si="4"/>
        <v>1.4341737000000003</v>
      </c>
      <c r="H32" s="115">
        <f t="shared" si="4"/>
        <v>2.24089640625</v>
      </c>
      <c r="I32" s="114">
        <f t="shared" si="4"/>
        <v>3.226890825</v>
      </c>
      <c r="J32" s="114">
        <f t="shared" si="4"/>
        <v>4.39215695625</v>
      </c>
      <c r="K32" s="114">
        <f t="shared" si="4"/>
        <v>5.7366947999999995</v>
      </c>
      <c r="L32" s="114">
        <f t="shared" si="4"/>
        <v>7.2605043562499985</v>
      </c>
      <c r="M32" s="114">
        <f t="shared" si="4"/>
        <v>8.963585624999999</v>
      </c>
      <c r="N32" s="114">
        <f t="shared" si="4"/>
        <v>10.845938606249998</v>
      </c>
      <c r="O32" s="114">
        <f t="shared" si="4"/>
        <v>12.9075633</v>
      </c>
      <c r="P32" s="114">
        <f t="shared" si="4"/>
        <v>15.148459706250001</v>
      </c>
      <c r="Q32" s="114">
        <f t="shared" si="4"/>
        <v>17.568627825000004</v>
      </c>
      <c r="R32" s="115">
        <f t="shared" si="4"/>
        <v>20.16806765625001</v>
      </c>
      <c r="S32" s="114">
        <f t="shared" si="4"/>
        <v>22.94677920000001</v>
      </c>
      <c r="T32" s="114">
        <f t="shared" si="4"/>
        <v>25.904762456250015</v>
      </c>
      <c r="U32" s="114">
        <f t="shared" si="4"/>
        <v>29.042017425000015</v>
      </c>
      <c r="V32" s="114">
        <f t="shared" si="4"/>
        <v>32.35854410625002</v>
      </c>
      <c r="W32" s="114">
        <f t="shared" si="4"/>
        <v>35.8543425</v>
      </c>
      <c r="X32" s="114">
        <f t="shared" si="4"/>
        <v>1.8151260890625003</v>
      </c>
      <c r="Y32" s="114">
        <f t="shared" si="4"/>
        <v>7.260504356250006</v>
      </c>
      <c r="Z32" s="3"/>
      <c r="AA32" s="3"/>
      <c r="AB32" s="4"/>
      <c r="AC32" s="3"/>
      <c r="AD32" s="3"/>
      <c r="AE32" s="4"/>
      <c r="AF32" s="4"/>
      <c r="AG32" s="3"/>
      <c r="AH32" s="4"/>
      <c r="AI32" s="3"/>
      <c r="AJ32" s="3"/>
      <c r="AK32" s="3"/>
      <c r="AL32" s="697"/>
      <c r="AM32" s="3"/>
      <c r="AN32" s="3"/>
      <c r="AO32" s="3"/>
    </row>
    <row r="33" spans="1:41" ht="15.75">
      <c r="A33" s="375"/>
      <c r="B33" s="107" t="s">
        <v>304</v>
      </c>
      <c r="C33" s="104">
        <v>0</v>
      </c>
      <c r="D33" s="104">
        <v>0</v>
      </c>
      <c r="E33" s="104">
        <v>0</v>
      </c>
      <c r="F33" s="104">
        <v>0</v>
      </c>
      <c r="G33" s="104">
        <v>0</v>
      </c>
      <c r="H33" s="104">
        <v>0</v>
      </c>
      <c r="I33" s="104">
        <v>0</v>
      </c>
      <c r="J33" s="104">
        <v>0</v>
      </c>
      <c r="K33" s="104">
        <v>0</v>
      </c>
      <c r="L33" s="104">
        <v>0</v>
      </c>
      <c r="M33" s="104">
        <v>0</v>
      </c>
      <c r="N33" s="104">
        <v>0</v>
      </c>
      <c r="O33" s="104">
        <v>0</v>
      </c>
      <c r="P33" s="104">
        <v>0</v>
      </c>
      <c r="Q33" s="104">
        <v>0</v>
      </c>
      <c r="R33" s="104">
        <v>0</v>
      </c>
      <c r="S33" s="104">
        <v>0</v>
      </c>
      <c r="T33" s="104">
        <v>0</v>
      </c>
      <c r="U33" s="104">
        <v>0</v>
      </c>
      <c r="V33" s="104">
        <v>0</v>
      </c>
      <c r="W33" s="104">
        <v>0</v>
      </c>
      <c r="X33" s="48"/>
      <c r="Y33" s="48"/>
      <c r="Z33" s="3"/>
      <c r="AA33" s="3"/>
      <c r="AB33" s="4"/>
      <c r="AC33" s="3"/>
      <c r="AD33" s="3"/>
      <c r="AE33" s="4"/>
      <c r="AF33" s="4"/>
      <c r="AG33" s="3"/>
      <c r="AH33" s="4"/>
      <c r="AI33" s="3"/>
      <c r="AJ33" s="3"/>
      <c r="AK33" s="3"/>
      <c r="AL33" s="697"/>
      <c r="AM33" s="3"/>
      <c r="AN33" s="3"/>
      <c r="AO33" s="3"/>
    </row>
    <row r="34" spans="1:41" ht="15.75">
      <c r="A34" s="375"/>
      <c r="B34" s="770" t="s">
        <v>59</v>
      </c>
      <c r="C34" s="48"/>
      <c r="D34" s="48"/>
      <c r="E34" s="48"/>
      <c r="F34" s="48"/>
      <c r="G34" s="48"/>
      <c r="H34" s="48"/>
      <c r="I34" s="48"/>
      <c r="J34" s="48"/>
      <c r="K34" s="48"/>
      <c r="L34" s="48"/>
      <c r="M34" s="48"/>
      <c r="N34" s="48"/>
      <c r="O34" s="48"/>
      <c r="P34" s="48"/>
      <c r="Q34" s="48"/>
      <c r="R34" s="48"/>
      <c r="S34" s="48"/>
      <c r="T34" s="48"/>
      <c r="U34" s="48"/>
      <c r="V34" s="48"/>
      <c r="W34" s="48"/>
      <c r="X34" s="36"/>
      <c r="Y34" s="36"/>
      <c r="Z34" s="4"/>
      <c r="AA34" s="4"/>
      <c r="AB34" s="4"/>
      <c r="AC34" s="4"/>
      <c r="AD34" s="4"/>
      <c r="AE34" s="4"/>
      <c r="AF34" s="4"/>
      <c r="AG34" s="4"/>
      <c r="AH34" s="4"/>
      <c r="AI34" s="4"/>
      <c r="AJ34" s="4"/>
      <c r="AK34" s="4"/>
      <c r="AL34" s="697"/>
      <c r="AM34" s="4"/>
      <c r="AN34" s="4"/>
      <c r="AO34" s="4"/>
    </row>
    <row r="35" spans="1:41" ht="15.75">
      <c r="A35" s="375"/>
      <c r="B35" s="102" t="s">
        <v>312</v>
      </c>
      <c r="C35" s="86">
        <v>0</v>
      </c>
      <c r="D35" s="86">
        <f aca="true" t="shared" si="5" ref="D35:W35">D36-$C36</f>
        <v>0.3500000000000001</v>
      </c>
      <c r="E35" s="86">
        <f t="shared" si="5"/>
        <v>0.7000000000000002</v>
      </c>
      <c r="F35" s="86">
        <f t="shared" si="5"/>
        <v>1.0500000000000003</v>
      </c>
      <c r="G35" s="86">
        <f t="shared" si="5"/>
        <v>1.4000000000000004</v>
      </c>
      <c r="H35" s="86">
        <f t="shared" si="5"/>
        <v>1.7500000000000004</v>
      </c>
      <c r="I35" s="86">
        <f t="shared" si="5"/>
        <v>2.1</v>
      </c>
      <c r="J35" s="86">
        <f t="shared" si="5"/>
        <v>2.4499999999999997</v>
      </c>
      <c r="K35" s="86">
        <f t="shared" si="5"/>
        <v>2.7999999999999994</v>
      </c>
      <c r="L35" s="86">
        <f t="shared" si="5"/>
        <v>3.149999999999999</v>
      </c>
      <c r="M35" s="86">
        <f t="shared" si="5"/>
        <v>3.4999999999999987</v>
      </c>
      <c r="N35" s="86">
        <f t="shared" si="5"/>
        <v>3.8499999999999983</v>
      </c>
      <c r="O35" s="86">
        <f t="shared" si="5"/>
        <v>4.1999999999999975</v>
      </c>
      <c r="P35" s="86">
        <f t="shared" si="5"/>
        <v>4.549999999999997</v>
      </c>
      <c r="Q35" s="86">
        <f t="shared" si="5"/>
        <v>4.899999999999997</v>
      </c>
      <c r="R35" s="86">
        <f t="shared" si="5"/>
        <v>5.2499999999999964</v>
      </c>
      <c r="S35" s="86">
        <f t="shared" si="5"/>
        <v>5.599999999999996</v>
      </c>
      <c r="T35" s="86">
        <f t="shared" si="5"/>
        <v>5.949999999999996</v>
      </c>
      <c r="U35" s="86">
        <f t="shared" si="5"/>
        <v>6.299999999999997</v>
      </c>
      <c r="V35" s="86">
        <f t="shared" si="5"/>
        <v>6.649999999999997</v>
      </c>
      <c r="W35" s="86">
        <f t="shared" si="5"/>
        <v>6.9999999999999964</v>
      </c>
      <c r="X35" s="110">
        <f>MAIN!E19/1000</f>
        <v>1.1</v>
      </c>
      <c r="Y35" s="110">
        <f>W35-MAIN!F19/1000</f>
        <v>5.899999999999997</v>
      </c>
      <c r="Z35" s="3"/>
      <c r="AA35" s="3"/>
      <c r="AB35" s="4"/>
      <c r="AC35" s="3"/>
      <c r="AD35" s="3"/>
      <c r="AE35" s="4"/>
      <c r="AF35" s="4"/>
      <c r="AG35" s="3"/>
      <c r="AH35" s="4"/>
      <c r="AI35" s="3"/>
      <c r="AJ35" s="3"/>
      <c r="AK35" s="3"/>
      <c r="AL35" s="697"/>
      <c r="AM35" s="3"/>
      <c r="AN35" s="3"/>
      <c r="AO35" s="3"/>
    </row>
    <row r="36" spans="1:41" ht="15.75">
      <c r="A36" s="375"/>
      <c r="B36" s="106" t="s">
        <v>298</v>
      </c>
      <c r="C36" s="86">
        <f>W21</f>
        <v>2.0000000000000004</v>
      </c>
      <c r="D36" s="86">
        <f>C36+MAIN!$C$19/20</f>
        <v>2.3500000000000005</v>
      </c>
      <c r="E36" s="86">
        <f>D36+MAIN!$C$19/20</f>
        <v>2.7000000000000006</v>
      </c>
      <c r="F36" s="86">
        <f>E36+MAIN!$C$19/20</f>
        <v>3.0500000000000007</v>
      </c>
      <c r="G36" s="86">
        <f>F36+MAIN!$C$19/20</f>
        <v>3.400000000000001</v>
      </c>
      <c r="H36" s="86">
        <f>G36+MAIN!$C$19/20</f>
        <v>3.750000000000001</v>
      </c>
      <c r="I36" s="86">
        <f>H36+MAIN!$C$19/20</f>
        <v>4.1000000000000005</v>
      </c>
      <c r="J36" s="86">
        <f>I36+MAIN!$C$19/20</f>
        <v>4.45</v>
      </c>
      <c r="K36" s="86">
        <f>J36+MAIN!$C$19/20</f>
        <v>4.8</v>
      </c>
      <c r="L36" s="86">
        <f>K36+MAIN!$C$19/20</f>
        <v>5.1499999999999995</v>
      </c>
      <c r="M36" s="86">
        <f>L36+MAIN!$C$19/20</f>
        <v>5.499999999999999</v>
      </c>
      <c r="N36" s="86">
        <f>M36+MAIN!$C$19/20</f>
        <v>5.849999999999999</v>
      </c>
      <c r="O36" s="86">
        <f>N36+MAIN!$C$19/20</f>
        <v>6.199999999999998</v>
      </c>
      <c r="P36" s="86">
        <f>O36+MAIN!$C$19/20</f>
        <v>6.549999999999998</v>
      </c>
      <c r="Q36" s="86">
        <f>P36+MAIN!$C$19/20</f>
        <v>6.899999999999998</v>
      </c>
      <c r="R36" s="86">
        <f>Q36+MAIN!$C$19/20</f>
        <v>7.249999999999997</v>
      </c>
      <c r="S36" s="86">
        <f>R36+MAIN!$C$19/20</f>
        <v>7.599999999999997</v>
      </c>
      <c r="T36" s="86">
        <f>S36+MAIN!$C$19/20</f>
        <v>7.949999999999997</v>
      </c>
      <c r="U36" s="86">
        <f>T36+MAIN!$C$19/20</f>
        <v>8.299999999999997</v>
      </c>
      <c r="V36" s="86">
        <f>U36+MAIN!$C$19/20</f>
        <v>8.649999999999997</v>
      </c>
      <c r="W36" s="86">
        <f>V36+MAIN!$C$19/20</f>
        <v>8.999999999999996</v>
      </c>
      <c r="X36" s="86"/>
      <c r="Y36" s="86"/>
      <c r="Z36" s="3"/>
      <c r="AA36" s="3"/>
      <c r="AB36" s="4"/>
      <c r="AC36" s="3"/>
      <c r="AD36" s="3"/>
      <c r="AE36" s="4"/>
      <c r="AF36" s="4"/>
      <c r="AG36" s="3"/>
      <c r="AH36" s="4"/>
      <c r="AI36" s="3"/>
      <c r="AJ36" s="3"/>
      <c r="AK36" s="3"/>
      <c r="AL36" s="697"/>
      <c r="AM36" s="3"/>
      <c r="AN36" s="3"/>
      <c r="AO36" s="3"/>
    </row>
    <row r="37" spans="1:41" ht="15.75">
      <c r="A37" s="375"/>
      <c r="B37" s="106" t="s">
        <v>301</v>
      </c>
      <c r="C37" s="103">
        <f>Analysis!D199</f>
        <v>35.8543425</v>
      </c>
      <c r="D37" s="103">
        <f>-Analysis!$D187*D$35+Analysis!$F190*D$35^2/2+IF(D$35&gt;Analysis!$F193,Analysis!$G190*(D$35-Analysis!$F193),0)+IF(D$35&gt;Analysis!$H193,Analysis!$H190*(D$35-Analysis!$H193),0)+$C37</f>
        <v>16.87260138911894</v>
      </c>
      <c r="E37" s="103">
        <f>-Analysis!$D187*E$35+Analysis!$F190*E$35^2/2+IF(E$35&gt;Analysis!$F193,Analysis!$G190*(E$35-Analysis!$F193),0)+IF(E$35&gt;Analysis!$H193,Analysis!$H190*(E$35-Analysis!$H193),0)+$C37</f>
        <v>-0.1786507884287829</v>
      </c>
      <c r="F37" s="103">
        <f>-Analysis!$D187*F$35+Analysis!$F190*F$35^2/2+IF(F$35&gt;Analysis!$F193,Analysis!$G190*(F$35-Analysis!$F193),0)+IF(F$35&gt;Analysis!$H193,Analysis!$H190*(F$35-Analysis!$H193),0)+$C37</f>
        <v>-15.299414032643178</v>
      </c>
      <c r="G37" s="103">
        <f>-Analysis!$D187*G$35+Analysis!$F190*G$35^2/2+IF(G$35&gt;Analysis!$F193,Analysis!$G190*(G$35-Analysis!$F193),0)+IF(G$35&gt;Analysis!$H193,Analysis!$H190*(G$35-Analysis!$H193),0)+$C37</f>
        <v>-28.489688343524236</v>
      </c>
      <c r="H37" s="103">
        <f>-Analysis!$D187*H$35+Analysis!$F190*H$35^2/2+IF(H$35&gt;Analysis!$F193,Analysis!$G190*(H$35-Analysis!$F193),0)+IF(H$35&gt;Analysis!$H193,Analysis!$H190*(H$35-Analysis!$H193),0)+$C37</f>
        <v>-35.69947372107195</v>
      </c>
      <c r="I37" s="103">
        <f>-Analysis!$D187*I$35+Analysis!$F190*I$35^2/2+IF(I$35&gt;Analysis!$F193,Analysis!$G190*(I$35-Analysis!$F193),0)+IF(I$35&gt;Analysis!$H193,Analysis!$H190*(I$35-Analysis!$H193),0)+$C37</f>
        <v>-40.30377016528632</v>
      </c>
      <c r="J37" s="103">
        <f>-Analysis!$D187*J$35+Analysis!$F190*J$35^2/2+IF(J$35&gt;Analysis!$F193,Analysis!$G190*(J$35-Analysis!$F193),0)+IF(J$35&gt;Analysis!$H193,Analysis!$H190*(J$35-Analysis!$H193),0)+$C37</f>
        <v>-42.977577676167385</v>
      </c>
      <c r="K37" s="103">
        <f>-Analysis!$D187*K$35+Analysis!$F190*K$35^2/2+IF(K$35&gt;Analysis!$F193,Analysis!$G190*(K$35-Analysis!$F193),0)+IF(K$35&gt;Analysis!$H193,Analysis!$H190*(K$35-Analysis!$H193),0)+$C37</f>
        <v>-43.7208962537151</v>
      </c>
      <c r="L37" s="103">
        <f>-Analysis!$D187*L$35+Analysis!$F190*L$35^2/2+IF(L$35&gt;Analysis!$F193,Analysis!$G190*(L$35-Analysis!$F193),0)+IF(L$35&gt;Analysis!$H193,Analysis!$H190*(L$35-Analysis!$H193),0)+$C37</f>
        <v>-42.5337258979295</v>
      </c>
      <c r="M37" s="103">
        <f>-Analysis!$D187*M$35+Analysis!$F190*M$35^2/2+IF(M$35&gt;Analysis!$F193,Analysis!$G190*(M$35-Analysis!$F193),0)+IF(M$35&gt;Analysis!$H193,Analysis!$H190*(M$35-Analysis!$H193),0)+$C37</f>
        <v>-39.41606660881057</v>
      </c>
      <c r="N37" s="103">
        <f>-Analysis!$D187*N$35+Analysis!$F190*N$35^2/2+IF(N$35&gt;Analysis!$F193,Analysis!$G190*(N$35-Analysis!$F193),0)+IF(N$35&gt;Analysis!$H193,Analysis!$H190*(N$35-Analysis!$H193),0)+$C37</f>
        <v>-34.36791838635831</v>
      </c>
      <c r="O37" s="103">
        <f>-Analysis!$D187*O$35+Analysis!$F190*O$35^2/2+IF(O$35&gt;Analysis!$F193,Analysis!$G190*(O$35-Analysis!$F193),0)+IF(O$35&gt;Analysis!$H193,Analysis!$H190*(O$35-Analysis!$H193),0)+$C37</f>
        <v>-27.389281230572735</v>
      </c>
      <c r="P37" s="103">
        <f>-Analysis!$D187*P$35+Analysis!$F190*P$35^2/2+IF(P$35&gt;Analysis!$F193,Analysis!$G190*(P$35-Analysis!$F193),0)+IF(P$35&gt;Analysis!$H193,Analysis!$H190*(P$35-Analysis!$H193),0)+$C37</f>
        <v>-18.480155141453807</v>
      </c>
      <c r="Q37" s="103">
        <f>-Analysis!$D187*Q$35+Analysis!$F190*Q$35^2/2+IF(Q$35&gt;Analysis!$F193,Analysis!$G190*(Q$35-Analysis!$F193),0)+IF(Q$35&gt;Analysis!$H193,Analysis!$H190*(Q$35-Analysis!$H193),0)+$C37</f>
        <v>-7.640540119001585</v>
      </c>
      <c r="R37" s="103">
        <f>-Analysis!$D187*R$35+Analysis!$F190*R$35^2/2+IF(R$35&gt;Analysis!$F193,Analysis!$G190*(R$35-Analysis!$F193),0)+IF(R$35&gt;Analysis!$H193,Analysis!$H190*(R$35-Analysis!$H193),0)+$C37</f>
        <v>5.1295638367840155</v>
      </c>
      <c r="S37" s="103">
        <f>-Analysis!$D187*S$35+Analysis!$F190*S$35^2/2+IF(S$35&gt;Analysis!$F193,Analysis!$G190*(S$35-Analysis!$F193),0)+IF(S$35&gt;Analysis!$H193,Analysis!$H190*(S$35-Analysis!$H193),0)+$C37</f>
        <v>19.83015672590291</v>
      </c>
      <c r="T37" s="103">
        <f>-Analysis!$D187*T$35+Analysis!$F190*T$35^2/2+IF(T$35&gt;Analysis!$F193,Analysis!$G190*(T$35-Analysis!$F193),0)+IF(T$35&gt;Analysis!$H193,Analysis!$H190*(T$35-Analysis!$H193),0)+$C37</f>
        <v>36.4612385483551</v>
      </c>
      <c r="U37" s="103">
        <f>-Analysis!$D187*U$35+Analysis!$F190*U$35^2/2+IF(U$35&gt;Analysis!$F193,Analysis!$G190*(U$35-Analysis!$F193),0)+IF(U$35&gt;Analysis!$H193,Analysis!$H190*(U$35-Analysis!$H193),0)+$C37</f>
        <v>55.022809304140836</v>
      </c>
      <c r="V37" s="103">
        <f>-Analysis!$D187*V$35+Analysis!$F190*V$35^2/2+IF(V$35&gt;Analysis!$F193,Analysis!$G190*(V$35-Analysis!$F193),0)+IF(V$35&gt;Analysis!$H193,Analysis!$H190*(V$35-Analysis!$H193),0)+$C37</f>
        <v>75.5148689932597</v>
      </c>
      <c r="W37" s="103">
        <f>Analysis!J199</f>
        <v>97.93741761571225</v>
      </c>
      <c r="X37" s="103">
        <f>-Analysis!$D187*X$35+Analysis!$F190*X$35^2/2+IF(X$35&gt;Analysis!$F193,Analysis!$G190*(X$35-Analysis!$F193),0)+IF(X$35&gt;Analysis!$H193,Analysis!$H190*(X$35-Analysis!$H193),0)+$C37</f>
        <v>-17.301932134197614</v>
      </c>
      <c r="Y37" s="103">
        <f>-Analysis!$D187*Y$35+Analysis!$F190*Y$35^2/2+IF(Y$35&gt;Analysis!$F193,Analysis!$G190*(Y$35-Analysis!$F193),0)+IF(Y$35&gt;Analysis!$H193,Analysis!$H190*(Y$35-Analysis!$H193),0)+$C37</f>
        <v>33.967176516576316</v>
      </c>
      <c r="Z37" s="3"/>
      <c r="AA37" s="3"/>
      <c r="AB37" s="4"/>
      <c r="AC37" s="3"/>
      <c r="AD37" s="3"/>
      <c r="AE37" s="4"/>
      <c r="AF37" s="4"/>
      <c r="AG37" s="3"/>
      <c r="AH37" s="4"/>
      <c r="AI37" s="3"/>
      <c r="AJ37" s="3"/>
      <c r="AK37" s="3"/>
      <c r="AL37" s="697"/>
      <c r="AM37" s="3"/>
      <c r="AN37" s="3"/>
      <c r="AO37" s="3"/>
    </row>
    <row r="38" spans="1:41" ht="15.75">
      <c r="A38" s="375"/>
      <c r="B38" s="106" t="s">
        <v>302</v>
      </c>
      <c r="C38" s="103">
        <f>Analysis!D200</f>
        <v>35.8543425</v>
      </c>
      <c r="D38" s="103">
        <f>-Analysis!$D188*D$35+Analysis!$F191*D$35^2/2+IF(D$35&gt;Analysis!$F194,Analysis!$G191*(D$35-Analysis!$F194),0)+IF(D$35&gt;Analysis!$H194,Analysis!$H191*(D$35-Analysis!$H194),0)+$C38</f>
        <v>27.394706478692015</v>
      </c>
      <c r="E38" s="103">
        <f>-Analysis!$D188*E$35+Analysis!$F191*E$35^2/2+IF(E$35&gt;Analysis!$F194,Analysis!$G191*(E$35-Analysis!$F194),0)+IF(E$35&gt;Analysis!$H194,Analysis!$H191*(E$35-Analysis!$H194),0)+$C38</f>
        <v>19.753991124050696</v>
      </c>
      <c r="F38" s="103">
        <f>-Analysis!$D188*F$35+Analysis!$F191*F$35^2/2+IF(F$35&gt;Analysis!$F194,Analysis!$G191*(F$35-Analysis!$F194),0)+IF(F$35&gt;Analysis!$H194,Analysis!$H191*(F$35-Analysis!$H194),0)+$C38</f>
        <v>12.932196436076044</v>
      </c>
      <c r="G38" s="103">
        <f>-Analysis!$D188*G$35+Analysis!$F191*G$35^2/2+IF(G$35&gt;Analysis!$F194,Analysis!$G191*(G$35-Analysis!$F194),0)+IF(G$35&gt;Analysis!$H194,Analysis!$H191*(G$35-Analysis!$H194),0)+$C38</f>
        <v>6.929322414768059</v>
      </c>
      <c r="H38" s="103">
        <f>-Analysis!$D188*H$35+Analysis!$F191*H$35^2/2+IF(H$35&gt;Analysis!$F194,Analysis!$G191*(H$35-Analysis!$F194),0)+IF(H$35&gt;Analysis!$H194,Analysis!$H191*(H$35-Analysis!$H194),0)+$C38</f>
        <v>4.295369060126745</v>
      </c>
      <c r="I38" s="103">
        <f>-Analysis!$D188*I$35+Analysis!$F191*I$35^2/2+IF(I$35&gt;Analysis!$F194,Analysis!$G191*(I$35-Analysis!$F194),0)+IF(I$35&gt;Analysis!$H194,Analysis!$H191*(I$35-Analysis!$H194),0)+$C38</f>
        <v>2.9053363721520924</v>
      </c>
      <c r="J38" s="103">
        <f>-Analysis!$D188*J$35+Analysis!$F191*J$35^2/2+IF(J$35&gt;Analysis!$F194,Analysis!$G191*(J$35-Analysis!$F194),0)+IF(J$35&gt;Analysis!$H194,Analysis!$H191*(J$35-Analysis!$H194),0)+$C38</f>
        <v>2.334224350844117</v>
      </c>
      <c r="K38" s="103">
        <f>-Analysis!$D188*K$35+Analysis!$F191*K$35^2/2+IF(K$35&gt;Analysis!$F194,Analysis!$G191*(K$35-Analysis!$F194),0)+IF(K$35&gt;Analysis!$H194,Analysis!$H191*(K$35-Analysis!$H194),0)+$C38</f>
        <v>2.5820329962027913</v>
      </c>
      <c r="L38" s="103">
        <f>-Analysis!$D188*L$35+Analysis!$F191*L$35^2/2+IF(L$35&gt;Analysis!$F194,Analysis!$G191*(L$35-Analysis!$F194),0)+IF(L$35&gt;Analysis!$H194,Analysis!$H191*(L$35-Analysis!$H194),0)+$C38</f>
        <v>3.648762308228143</v>
      </c>
      <c r="M38" s="103">
        <f>-Analysis!$D188*M$35+Analysis!$F191*M$35^2/2+IF(M$35&gt;Analysis!$F194,Analysis!$G191*(M$35-Analysis!$F194),0)+IF(M$35&gt;Analysis!$H194,Analysis!$H191*(M$35-Analysis!$H194),0)+$C38</f>
        <v>5.534412286920158</v>
      </c>
      <c r="N38" s="103">
        <f>-Analysis!$D188*N$35+Analysis!$F191*N$35^2/2+IF(N$35&gt;Analysis!$F194,Analysis!$G191*(N$35-Analysis!$F194),0)+IF(N$35&gt;Analysis!$H194,Analysis!$H191*(N$35-Analysis!$H194),0)+$C38</f>
        <v>8.23898293227884</v>
      </c>
      <c r="O38" s="103">
        <f>-Analysis!$D188*O$35+Analysis!$F191*O$35^2/2+IF(O$35&gt;Analysis!$F194,Analysis!$G191*(O$35-Analysis!$F194),0)+IF(O$35&gt;Analysis!$H194,Analysis!$H191*(O$35-Analysis!$H194),0)+$C38</f>
        <v>11.762474244304173</v>
      </c>
      <c r="P38" s="103">
        <f>-Analysis!$D188*P$35+Analysis!$F191*P$35^2/2+IF(P$35&gt;Analysis!$F194,Analysis!$G191*(P$35-Analysis!$F194),0)+IF(P$35&gt;Analysis!$H194,Analysis!$H191*(P$35-Analysis!$H194),0)+$C38</f>
        <v>16.10488622299618</v>
      </c>
      <c r="Q38" s="103">
        <f>-Analysis!$D188*Q$35+Analysis!$F191*Q$35^2/2+IF(Q$35&gt;Analysis!$F194,Analysis!$G191*(Q$35-Analysis!$F194),0)+IF(Q$35&gt;Analysis!$H194,Analysis!$H191*(Q$35-Analysis!$H194),0)+$C38</f>
        <v>21.26621886835485</v>
      </c>
      <c r="R38" s="103">
        <f>-Analysis!$D188*R$35+Analysis!$F191*R$35^2/2+IF(R$35&gt;Analysis!$F194,Analysis!$G191*(R$35-Analysis!$F194),0)+IF(R$35&gt;Analysis!$H194,Analysis!$H191*(R$35-Analysis!$H194),0)+$C38</f>
        <v>27.246472180380195</v>
      </c>
      <c r="S38" s="103">
        <f>-Analysis!$D188*S$35+Analysis!$F191*S$35^2/2+IF(S$35&gt;Analysis!$F194,Analysis!$G191*(S$35-Analysis!$F194),0)+IF(S$35&gt;Analysis!$H194,Analysis!$H191*(S$35-Analysis!$H194),0)+$C38</f>
        <v>34.04564615907219</v>
      </c>
      <c r="T38" s="103">
        <f>-Analysis!$D188*T$35+Analysis!$F191*T$35^2/2+IF(T$35&gt;Analysis!$F194,Analysis!$G191*(T$35-Analysis!$F194),0)+IF(T$35&gt;Analysis!$H194,Analysis!$H191*(T$35-Analysis!$H194),0)+$C38</f>
        <v>41.66374080443084</v>
      </c>
      <c r="U38" s="103">
        <f>-Analysis!$D188*U$35+Analysis!$F191*U$35^2/2+IF(U$35&gt;Analysis!$F194,Analysis!$G191*(U$35-Analysis!$F194),0)+IF(U$35&gt;Analysis!$H194,Analysis!$H191*(U$35-Analysis!$H194),0)+$C38</f>
        <v>50.100756116456246</v>
      </c>
      <c r="V38" s="103">
        <f>-Analysis!$D188*V$35+Analysis!$F191*V$35^2/2+IF(V$35&gt;Analysis!$F194,Analysis!$G191*(V$35-Analysis!$F194),0)+IF(V$35&gt;Analysis!$H194,Analysis!$H191*(V$35-Analysis!$H194),0)+$C38</f>
        <v>59.356692095148205</v>
      </c>
      <c r="W38" s="103">
        <f>Analysis!J200</f>
        <v>69.431548740507</v>
      </c>
      <c r="X38" s="103">
        <f>-Analysis!$D188*X$35+Analysis!$F191*X$35^2/2+IF(X$35&gt;Analysis!$F194,Analysis!$G191*(X$35-Analysis!$F194),0)+IF(X$35&gt;Analysis!$H194,Analysis!$H191*(X$35-Analysis!$H194),0)+$C38</f>
        <v>12.024505004460622</v>
      </c>
      <c r="Y38" s="103">
        <f>-Analysis!$D188*Y$35+Analysis!$F191*Y$35^2/2+IF(Y$35&gt;Analysis!$F194,Analysis!$G191*(Y$35-Analysis!$F194),0)+IF(Y$35&gt;Analysis!$H194,Analysis!$H191*(Y$35-Analysis!$H194),0)+$C38</f>
        <v>40.525303569379645</v>
      </c>
      <c r="Z38" s="3"/>
      <c r="AA38" s="3"/>
      <c r="AB38" s="4"/>
      <c r="AC38" s="3"/>
      <c r="AD38" s="3"/>
      <c r="AE38" s="4"/>
      <c r="AF38" s="4"/>
      <c r="AG38" s="3"/>
      <c r="AH38" s="4"/>
      <c r="AI38" s="3"/>
      <c r="AJ38" s="3"/>
      <c r="AK38" s="3"/>
      <c r="AL38" s="697"/>
      <c r="AM38" s="3"/>
      <c r="AN38" s="3"/>
      <c r="AO38" s="3"/>
    </row>
    <row r="39" spans="1:41" ht="15.75">
      <c r="A39" s="375"/>
      <c r="B39" s="107" t="s">
        <v>303</v>
      </c>
      <c r="C39" s="103">
        <f>Analysis!D201</f>
        <v>16.4673875</v>
      </c>
      <c r="D39" s="103">
        <f>-Analysis!$D189*D$35+Analysis!$F192*D$35^2/2+IF(D$35&gt;Analysis!$F195,Analysis!$G192*(D$35-Analysis!$F195),0)+IF(D$35&gt;Analysis!$H195,Analysis!$H192*(D$35-Analysis!$H195),0)+$C39</f>
        <v>-2.934758249350889</v>
      </c>
      <c r="E39" s="103">
        <f>-Analysis!$D189*E$35+Analysis!$F192*E$35^2/2+IF(E$35&gt;Analysis!$F195,Analysis!$G192*(E$35-Analysis!$F195),0)+IF(E$35&gt;Analysis!$H195,Analysis!$H192*(E$35-Analysis!$H195),0)+$C39</f>
        <v>-20.40641506536845</v>
      </c>
      <c r="F39" s="103">
        <f>-Analysis!$D189*F$35+Analysis!$F192*F$35^2/2+IF(F$35&gt;Analysis!$F195,Analysis!$G192*(F$35-Analysis!$F195),0)+IF(F$35&gt;Analysis!$H195,Analysis!$H192*(F$35-Analysis!$H195),0)+$C39</f>
        <v>-35.94758294805266</v>
      </c>
      <c r="G39" s="103">
        <f>-Analysis!$D189*G$35+Analysis!$F192*G$35^2/2+IF(G$35&gt;Analysis!$F195,Analysis!$G192*(G$35-Analysis!$F195),0)+IF(G$35&gt;Analysis!$H195,Analysis!$H192*(G$35-Analysis!$H195),0)+$C39</f>
        <v>-49.558261897403554</v>
      </c>
      <c r="H39" s="103">
        <f>-Analysis!$D189*H$35+Analysis!$F192*H$35^2/2+IF(H$35&gt;Analysis!$F195,Analysis!$G192*(H$35-Analysis!$F195),0)+IF(H$35&gt;Analysis!$H195,Analysis!$H192*(H$35-Analysis!$H195),0)+$C39</f>
        <v>-57.18845191342109</v>
      </c>
      <c r="I39" s="103">
        <f>-Analysis!$D189*I$35+Analysis!$F192*I$35^2/2+IF(I$35&gt;Analysis!$F195,Analysis!$G192*(I$35-Analysis!$F195),0)+IF(I$35&gt;Analysis!$H195,Analysis!$H192*(I$35-Analysis!$H195),0)+$C39</f>
        <v>-62.21315299610529</v>
      </c>
      <c r="J39" s="103">
        <f>-Analysis!$D189*J$35+Analysis!$F192*J$35^2/2+IF(J$35&gt;Analysis!$F195,Analysis!$G192*(J$35-Analysis!$F195),0)+IF(J$35&gt;Analysis!$H195,Analysis!$H192*(J$35-Analysis!$H195),0)+$C39</f>
        <v>-65.3073651454562</v>
      </c>
      <c r="K39" s="103">
        <f>-Analysis!$D189*K$35+Analysis!$F192*K$35^2/2+IF(K$35&gt;Analysis!$F195,Analysis!$G192*(K$35-Analysis!$F195),0)+IF(K$35&gt;Analysis!$H195,Analysis!$H192*(K$35-Analysis!$H195),0)+$C39</f>
        <v>-66.47108836147373</v>
      </c>
      <c r="L39" s="103">
        <f>-Analysis!$D189*L$35+Analysis!$F192*L$35^2/2+IF(L$35&gt;Analysis!$F195,Analysis!$G192*(L$35-Analysis!$F195),0)+IF(L$35&gt;Analysis!$H195,Analysis!$H192*(L$35-Analysis!$H195),0)+$C39</f>
        <v>-65.70432264415795</v>
      </c>
      <c r="M39" s="103">
        <f>-Analysis!$D189*M$35+Analysis!$F192*M$35^2/2+IF(M$35&gt;Analysis!$F195,Analysis!$G192*(M$35-Analysis!$F195),0)+IF(M$35&gt;Analysis!$H195,Analysis!$H192*(M$35-Analysis!$H195),0)+$C39</f>
        <v>-63.00706799350887</v>
      </c>
      <c r="N39" s="103">
        <f>-Analysis!$D189*N$35+Analysis!$F192*N$35^2/2+IF(N$35&gt;Analysis!$F195,Analysis!$G192*(N$35-Analysis!$F195),0)+IF(N$35&gt;Analysis!$H195,Analysis!$H192*(N$35-Analysis!$H195),0)+$C39</f>
        <v>-58.37932440952643</v>
      </c>
      <c r="O39" s="103">
        <f>-Analysis!$D189*O$35+Analysis!$F192*O$35^2/2+IF(O$35&gt;Analysis!$F195,Analysis!$G192*(O$35-Analysis!$F195),0)+IF(O$35&gt;Analysis!$H195,Analysis!$H192*(O$35-Analysis!$H195),0)+$C39</f>
        <v>-51.821091892210674</v>
      </c>
      <c r="P39" s="103">
        <f>-Analysis!$D189*P$35+Analysis!$F192*P$35^2/2+IF(P$35&gt;Analysis!$F195,Analysis!$G192*(P$35-Analysis!$F195),0)+IF(P$35&gt;Analysis!$H195,Analysis!$H192*(P$35-Analysis!$H195),0)+$C39</f>
        <v>-43.332370441561594</v>
      </c>
      <c r="Q39" s="103">
        <f>-Analysis!$D189*Q$35+Analysis!$F192*Q$35^2/2+IF(Q$35&gt;Analysis!$F195,Analysis!$G192*(Q$35-Analysis!$F195),0)+IF(Q$35&gt;Analysis!$H195,Analysis!$H192*(Q$35-Analysis!$H195),0)+$C39</f>
        <v>-32.91316005757916</v>
      </c>
      <c r="R39" s="103">
        <f>-Analysis!$D189*R$35+Analysis!$F192*R$35^2/2+IF(R$35&gt;Analysis!$F195,Analysis!$G192*(R$35-Analysis!$F195),0)+IF(R$35&gt;Analysis!$H195,Analysis!$H192*(R$35-Analysis!$H195),0)+$C39</f>
        <v>-20.56346074026341</v>
      </c>
      <c r="S39" s="103">
        <f>-Analysis!$D189*S$35+Analysis!$F192*S$35^2/2+IF(S$35&gt;Analysis!$F195,Analysis!$G192*(S$35-Analysis!$F195),0)+IF(S$35&gt;Analysis!$H195,Analysis!$H192*(S$35-Analysis!$H195),0)+$C39</f>
        <v>-6.283272489614305</v>
      </c>
      <c r="T39" s="103">
        <f>-Analysis!$D189*T$35+Analysis!$F192*T$35^2/2+IF(T$35&gt;Analysis!$F195,Analysis!$G192*(T$35-Analysis!$F195),0)+IF(T$35&gt;Analysis!$H195,Analysis!$H192*(T$35-Analysis!$H195),0)+$C39</f>
        <v>9.927404694368036</v>
      </c>
      <c r="U39" s="103">
        <f>-Analysis!$D189*U$35+Analysis!$F192*U$35^2/2+IF(U$35&gt;Analysis!$F195,Analysis!$G192*(U$35-Analysis!$F195),0)+IF(U$35&gt;Analysis!$H195,Analysis!$H192*(U$35-Analysis!$H195),0)+$C39</f>
        <v>28.068570811683927</v>
      </c>
      <c r="V39" s="103">
        <f>-Analysis!$D189*V$35+Analysis!$F192*V$35^2/2+IF(V$35&gt;Analysis!$F195,Analysis!$G192*(V$35-Analysis!$F195),0)+IF(V$35&gt;Analysis!$H195,Analysis!$H192*(V$35-Analysis!$H195),0)+$C39</f>
        <v>48.14022586233294</v>
      </c>
      <c r="W39" s="103">
        <f>Analysis!J201</f>
        <v>70.14236984631569</v>
      </c>
      <c r="X39" s="103">
        <f>-Analysis!$D189*X$35+Analysis!$F192*X$35^2/2+IF(X$35&gt;Analysis!$F195,Analysis!$G192*(X$35-Analysis!$F195),0)+IF(X$35&gt;Analysis!$H195,Analysis!$H192*(X$35-Analysis!$H195),0)+$C39</f>
        <v>-38.01015885510278</v>
      </c>
      <c r="Y39" s="103">
        <f>-Analysis!$D189*Y$35+Analysis!$F192*Y$35^2/2+IF(Y$35&gt;Analysis!$F195,Analysis!$G192*(Y$35-Analysis!$F195),0)+IF(Y$35&gt;Analysis!$H195,Analysis!$H192*(Y$35-Analysis!$H195),0)+$C39</f>
        <v>7.493400468084914</v>
      </c>
      <c r="Z39" s="3"/>
      <c r="AA39" s="3"/>
      <c r="AB39" s="4"/>
      <c r="AC39" s="3"/>
      <c r="AD39" s="3"/>
      <c r="AE39" s="4"/>
      <c r="AF39" s="4"/>
      <c r="AG39" s="3"/>
      <c r="AH39" s="4"/>
      <c r="AI39" s="3"/>
      <c r="AJ39" s="3"/>
      <c r="AK39" s="3"/>
      <c r="AL39" s="697"/>
      <c r="AM39" s="3"/>
      <c r="AN39" s="3"/>
      <c r="AO39" s="3"/>
    </row>
    <row r="40" spans="1:41" ht="15.75">
      <c r="A40" s="375"/>
      <c r="B40" s="108" t="s">
        <v>304</v>
      </c>
      <c r="C40" s="104">
        <v>0</v>
      </c>
      <c r="D40" s="104">
        <v>0</v>
      </c>
      <c r="E40" s="104">
        <v>0</v>
      </c>
      <c r="F40" s="104">
        <v>0</v>
      </c>
      <c r="G40" s="104">
        <v>0</v>
      </c>
      <c r="H40" s="104">
        <v>0</v>
      </c>
      <c r="I40" s="104">
        <v>0</v>
      </c>
      <c r="J40" s="104">
        <v>0</v>
      </c>
      <c r="K40" s="104">
        <v>0</v>
      </c>
      <c r="L40" s="104">
        <v>0</v>
      </c>
      <c r="M40" s="104">
        <v>0</v>
      </c>
      <c r="N40" s="104">
        <v>0</v>
      </c>
      <c r="O40" s="104">
        <v>0</v>
      </c>
      <c r="P40" s="104">
        <v>0</v>
      </c>
      <c r="Q40" s="104">
        <v>0</v>
      </c>
      <c r="R40" s="104">
        <v>0</v>
      </c>
      <c r="S40" s="104">
        <v>0</v>
      </c>
      <c r="T40" s="104">
        <v>0</v>
      </c>
      <c r="U40" s="104">
        <v>0</v>
      </c>
      <c r="V40" s="104">
        <v>0</v>
      </c>
      <c r="W40" s="104">
        <v>0</v>
      </c>
      <c r="X40" s="104"/>
      <c r="Y40" s="104"/>
      <c r="Z40" s="3"/>
      <c r="AA40" s="3"/>
      <c r="AB40" s="4"/>
      <c r="AC40" s="3"/>
      <c r="AD40" s="3"/>
      <c r="AE40" s="4"/>
      <c r="AF40" s="4"/>
      <c r="AG40" s="3"/>
      <c r="AH40" s="4"/>
      <c r="AI40" s="3"/>
      <c r="AJ40" s="3"/>
      <c r="AK40" s="3"/>
      <c r="AL40" s="697"/>
      <c r="AM40" s="3"/>
      <c r="AN40" s="3"/>
      <c r="AO40" s="3"/>
    </row>
    <row r="41" spans="1:41" ht="15.75">
      <c r="A41" s="375"/>
      <c r="B41" s="108" t="s">
        <v>305</v>
      </c>
      <c r="C41" s="105">
        <f>Analysis!D202</f>
        <v>35.8543425</v>
      </c>
      <c r="D41" s="105">
        <f>-Analysis!$D190*D$35+Analysis!$F190*D$35^2/2+IF(D$35&gt;Analysis!$F196,Analysis!$G190*(D$35-Analysis!$F196),0)+IF(D$35&gt;Analysis!$H196,Analysis!$H190*(D$35-Analysis!$H196),0)+$C41</f>
        <v>16.1380707570011</v>
      </c>
      <c r="E41" s="105">
        <f>-Analysis!$D190*E$35+Analysis!$F190*E$35^2/2+IF(E$35&gt;Analysis!$F196,Analysis!$G190*(E$35-Analysis!$F196),0)+IF(E$35&gt;Analysis!$H196,Analysis!$H190*(E$35-Analysis!$H196),0)+$C41</f>
        <v>-1.647712052664474</v>
      </c>
      <c r="F41" s="105">
        <f>-Analysis!$D190*F$35+Analysis!$F190*F$35^2/2+IF(F$35&gt;Analysis!$F196,Analysis!$G190*(F$35-Analysis!$F196),0)+IF(F$35&gt;Analysis!$H196,Analysis!$H190*(F$35-Analysis!$H196),0)+$C41</f>
        <v>-17.503005928996707</v>
      </c>
      <c r="G41" s="105">
        <f>-Analysis!$D190*G$35+Analysis!$F190*G$35^2/2+IF(G$35&gt;Analysis!$F196,Analysis!$G190*(G$35-Analysis!$F196),0)+IF(G$35&gt;Analysis!$H196,Analysis!$H190*(G$35-Analysis!$H196),0)+$C41</f>
        <v>-31.427810871995604</v>
      </c>
      <c r="H41" s="105">
        <f>-Analysis!$D190*H$35+Analysis!$F190*H$35^2/2+IF(H$35&gt;Analysis!$F196,Analysis!$G190*(H$35-Analysis!$F196),0)+IF(H$35&gt;Analysis!$H196,Analysis!$H190*(H$35-Analysis!$H196),0)+$C41</f>
        <v>-39.37212688166116</v>
      </c>
      <c r="I41" s="105">
        <f>-Analysis!$D190*I$35+Analysis!$F190*I$35^2/2+IF(I$35&gt;Analysis!$F196,Analysis!$G190*(I$35-Analysis!$F196),0)+IF(I$35&gt;Analysis!$H196,Analysis!$H190*(I$35-Analysis!$H196),0)+$C41</f>
        <v>-44.71095395799338</v>
      </c>
      <c r="J41" s="105">
        <f>-Analysis!$D190*J$35+Analysis!$F190*J$35^2/2+IF(J$35&gt;Analysis!$F196,Analysis!$G190*(J$35-Analysis!$F196),0)+IF(J$35&gt;Analysis!$H196,Analysis!$H190*(J$35-Analysis!$H196),0)+$C41</f>
        <v>-48.11929210099231</v>
      </c>
      <c r="K41" s="105">
        <f>-Analysis!$D190*K$35+Analysis!$F190*K$35^2/2+IF(K$35&gt;Analysis!$F196,Analysis!$G190*(K$35-Analysis!$F196),0)+IF(K$35&gt;Analysis!$H196,Analysis!$H190*(K$35-Analysis!$H196),0)+$C41</f>
        <v>-49.59714131065786</v>
      </c>
      <c r="L41" s="105">
        <f>-Analysis!$D190*L$35+Analysis!$F190*L$35^2/2+IF(L$35&gt;Analysis!$F196,Analysis!$G190*(L$35-Analysis!$F196),0)+IF(L$35&gt;Analysis!$H196,Analysis!$H190*(L$35-Analysis!$H196),0)+$C41</f>
        <v>-49.1445015869901</v>
      </c>
      <c r="M41" s="105">
        <f>-Analysis!$D190*M$35+Analysis!$F190*M$35^2/2+IF(M$35&gt;Analysis!$F196,Analysis!$G190*(M$35-Analysis!$F196),0)+IF(M$35&gt;Analysis!$H196,Analysis!$H190*(M$35-Analysis!$H196),0)+$C41</f>
        <v>-46.76137292998901</v>
      </c>
      <c r="N41" s="105">
        <f>-Analysis!$D190*N$35+Analysis!$F190*N$35^2/2+IF(N$35&gt;Analysis!$F196,Analysis!$G190*(N$35-Analysis!$F196),0)+IF(N$35&gt;Analysis!$H196,Analysis!$H190*(N$35-Analysis!$H196),0)+$C41</f>
        <v>-42.44775533965459</v>
      </c>
      <c r="O41" s="105">
        <f>-Analysis!$D190*O$35+Analysis!$F190*O$35^2/2+IF(O$35&gt;Analysis!$F196,Analysis!$G190*(O$35-Analysis!$F196),0)+IF(O$35&gt;Analysis!$H196,Analysis!$H190*(O$35-Analysis!$H196),0)+$C41</f>
        <v>-36.20364881598685</v>
      </c>
      <c r="P41" s="105">
        <f>-Analysis!$D190*P$35+Analysis!$F190*P$35^2/2+IF(P$35&gt;Analysis!$F196,Analysis!$G190*(P$35-Analysis!$F196),0)+IF(P$35&gt;Analysis!$H196,Analysis!$H190*(P$35-Analysis!$H196),0)+$C41</f>
        <v>-28.029053358985735</v>
      </c>
      <c r="Q41" s="105">
        <f>-Analysis!$D190*Q$35+Analysis!$F190*Q$35^2/2+IF(Q$35&gt;Analysis!$F196,Analysis!$G190*(Q$35-Analysis!$F196),0)+IF(Q$35&gt;Analysis!$H196,Analysis!$H190*(Q$35-Analysis!$H196),0)+$C41</f>
        <v>-17.92396896865138</v>
      </c>
      <c r="R41" s="105">
        <f>-Analysis!$D190*R$35+Analysis!$F190*R$35^2/2+IF(R$35&gt;Analysis!$F196,Analysis!$G190*(R$35-Analysis!$F196),0)+IF(R$35&gt;Analysis!$H196,Analysis!$H190*(R$35-Analysis!$H196),0)+$C41</f>
        <v>-5.888395644983589</v>
      </c>
      <c r="S41" s="105">
        <f>-Analysis!$D190*S$35+Analysis!$F190*S$35^2/2+IF(S$35&gt;Analysis!$F196,Analysis!$G190*(S$35-Analysis!$F196),0)+IF(S$35&gt;Analysis!$H196,Analysis!$H190*(S$35-Analysis!$H196),0)+$C41</f>
        <v>8.077666612017438</v>
      </c>
      <c r="T41" s="105">
        <f>-Analysis!$D190*T$35+Analysis!$F190*T$35^2/2+IF(T$35&gt;Analysis!$F196,Analysis!$G190*(T$35-Analysis!$F196),0)+IF(T$35&gt;Analysis!$H196,Analysis!$H190*(T$35-Analysis!$H196),0)+$C41</f>
        <v>23.974217802351816</v>
      </c>
      <c r="U41" s="105">
        <f>-Analysis!$D190*U$35+Analysis!$F190*U$35^2/2+IF(U$35&gt;Analysis!$F196,Analysis!$G190*(U$35-Analysis!$F196),0)+IF(U$35&gt;Analysis!$H196,Analysis!$H190*(U$35-Analysis!$H196),0)+$C41</f>
        <v>41.80125792601963</v>
      </c>
      <c r="V41" s="105">
        <f>-Analysis!$D190*V$35+Analysis!$F190*V$35^2/2+IF(V$35&gt;Analysis!$F196,Analysis!$G190*(V$35-Analysis!$F196),0)+IF(V$35&gt;Analysis!$H196,Analysis!$H190*(V$35-Analysis!$H196),0)+$C41</f>
        <v>61.55878698302068</v>
      </c>
      <c r="W41" s="105">
        <f>Analysis!J202</f>
        <v>83.24680497335541</v>
      </c>
      <c r="X41" s="105">
        <f>-Analysis!$D190*X$35+Analysis!$F190*X$35^2/2+IF(X$35&gt;Analysis!$F196,Analysis!$G190*(X$35-Analysis!$F196),0)+IF(X$35&gt;Analysis!$H196,Analysis!$H190*(X$35-Analysis!$H196),0)+$C41</f>
        <v>-19.61045697799654</v>
      </c>
      <c r="Y41" s="105">
        <f>-Analysis!$D190*Y$35+Analysis!$F190*Y$35^2/2+IF(Y$35&gt;Analysis!$F196,Analysis!$G190*(Y$35-Analysis!$F196),0)+IF(Y$35&gt;Analysis!$H196,Analysis!$H190*(Y$35-Analysis!$H196),0)+$C41</f>
        <v>21.58508871801841</v>
      </c>
      <c r="Z41" s="3"/>
      <c r="AA41" s="3"/>
      <c r="AB41" s="4"/>
      <c r="AC41" s="3"/>
      <c r="AD41" s="3"/>
      <c r="AE41" s="4"/>
      <c r="AF41" s="4"/>
      <c r="AG41" s="3"/>
      <c r="AH41" s="4"/>
      <c r="AI41" s="3"/>
      <c r="AJ41" s="3"/>
      <c r="AK41" s="3"/>
      <c r="AL41" s="697"/>
      <c r="AM41" s="3"/>
      <c r="AN41" s="3"/>
      <c r="AO41" s="3"/>
    </row>
    <row r="42" spans="1:41" ht="15.75">
      <c r="A42" s="375"/>
      <c r="B42" s="108" t="s">
        <v>306</v>
      </c>
      <c r="C42" s="105">
        <f>Analysis!D203</f>
        <v>35.8543425</v>
      </c>
      <c r="D42" s="105">
        <f>-Analysis!$D191*D$35+Analysis!$F191*D$35^2/2+IF(D$35&gt;Analysis!$F197,Analysis!$G191*(D$35-Analysis!$F197),0)+IF(D$35&gt;Analysis!$H197,Analysis!$H191*(D$35-Analysis!$H197),0)+$C42</f>
        <v>27.915443094245816</v>
      </c>
      <c r="E42" s="105">
        <f>-Analysis!$D191*E$35+Analysis!$F191*E$35^2/2+IF(E$35&gt;Analysis!$F197,Analysis!$G191*(E$35-Analysis!$F197),0)+IF(E$35&gt;Analysis!$H197,Analysis!$H191*(E$35-Analysis!$H197),0)+$C42</f>
        <v>20.7954643551583</v>
      </c>
      <c r="F42" s="105">
        <f>-Analysis!$D191*F$35+Analysis!$F191*F$35^2/2+IF(F$35&gt;Analysis!$F197,Analysis!$G191*(F$35-Analysis!$F197),0)+IF(F$35&gt;Analysis!$H197,Analysis!$H191*(F$35-Analysis!$H197),0)+$C42</f>
        <v>14.494406282737451</v>
      </c>
      <c r="G42" s="105">
        <f>-Analysis!$D191*G$35+Analysis!$F191*G$35^2/2+IF(G$35&gt;Analysis!$F197,Analysis!$G191*(G$35-Analysis!$F197),0)+IF(G$35&gt;Analysis!$H197,Analysis!$H191*(G$35-Analysis!$H197),0)+$C42</f>
        <v>9.012268876983264</v>
      </c>
      <c r="H42" s="105">
        <f>-Analysis!$D191*H$35+Analysis!$F191*H$35^2/2+IF(H$35&gt;Analysis!$F197,Analysis!$G191*(H$35-Analysis!$F197),0)+IF(H$35&gt;Analysis!$H197,Analysis!$H191*(H$35-Analysis!$H197),0)+$C42</f>
        <v>6.899052137895758</v>
      </c>
      <c r="I42" s="105">
        <f>-Analysis!$D191*I$35+Analysis!$F191*I$35^2/2+IF(I$35&gt;Analysis!$F197,Analysis!$G191*(I$35-Analysis!$F197),0)+IF(I$35&gt;Analysis!$H197,Analysis!$H191*(I$35-Analysis!$H197),0)+$C42</f>
        <v>6.029756065474903</v>
      </c>
      <c r="J42" s="105">
        <f>-Analysis!$D191*J$35+Analysis!$F191*J$35^2/2+IF(J$35&gt;Analysis!$F197,Analysis!$G191*(J$35-Analysis!$F197),0)+IF(J$35&gt;Analysis!$H197,Analysis!$H191*(J$35-Analysis!$H197),0)+$C42</f>
        <v>5.979380659720725</v>
      </c>
      <c r="K42" s="105">
        <f>-Analysis!$D191*K$35+Analysis!$F191*K$35^2/2+IF(K$35&gt;Analysis!$F197,Analysis!$G191*(K$35-Analysis!$F197),0)+IF(K$35&gt;Analysis!$H197,Analysis!$H191*(K$35-Analysis!$H197),0)+$C42</f>
        <v>6.7479259206332145</v>
      </c>
      <c r="L42" s="105">
        <f>-Analysis!$D191*L$35+Analysis!$F191*L$35^2/2+IF(L$35&gt;Analysis!$F197,Analysis!$G191*(L$35-Analysis!$F197),0)+IF(L$35&gt;Analysis!$H197,Analysis!$H191*(L$35-Analysis!$H197),0)+$C42</f>
        <v>8.335391848212357</v>
      </c>
      <c r="M42" s="105">
        <f>-Analysis!$D191*M$35+Analysis!$F191*M$35^2/2+IF(M$35&gt;Analysis!$F197,Analysis!$G191*(M$35-Analysis!$F197),0)+IF(M$35&gt;Analysis!$H197,Analysis!$H191*(M$35-Analysis!$H197),0)+$C42</f>
        <v>10.74177844245817</v>
      </c>
      <c r="N42" s="105">
        <f>-Analysis!$D191*N$35+Analysis!$F191*N$35^2/2+IF(N$35&gt;Analysis!$F197,Analysis!$G191*(N$35-Analysis!$F197),0)+IF(N$35&gt;Analysis!$H197,Analysis!$H191*(N$35-Analysis!$H197),0)+$C42</f>
        <v>13.967085703370653</v>
      </c>
      <c r="O42" s="105">
        <f>-Analysis!$D191*O$35+Analysis!$F191*O$35^2/2+IF(O$35&gt;Analysis!$F197,Analysis!$G191*(O$35-Analysis!$F197),0)+IF(O$35&gt;Analysis!$H197,Analysis!$H191*(O$35-Analysis!$H197),0)+$C42</f>
        <v>18.011313630949786</v>
      </c>
      <c r="P42" s="105">
        <f>-Analysis!$D191*P$35+Analysis!$F191*P$35^2/2+IF(P$35&gt;Analysis!$F197,Analysis!$G191*(P$35-Analysis!$F197),0)+IF(P$35&gt;Analysis!$H197,Analysis!$H191*(P$35-Analysis!$H197),0)+$C42</f>
        <v>22.874462225195593</v>
      </c>
      <c r="Q42" s="105">
        <f>-Analysis!$D191*Q$35+Analysis!$F191*Q$35^2/2+IF(Q$35&gt;Analysis!$F197,Analysis!$G191*(Q$35-Analysis!$F197),0)+IF(Q$35&gt;Analysis!$H197,Analysis!$H191*(Q$35-Analysis!$H197),0)+$C42</f>
        <v>28.556531486108067</v>
      </c>
      <c r="R42" s="105">
        <f>-Analysis!$D191*R$35+Analysis!$F191*R$35^2/2+IF(R$35&gt;Analysis!$F197,Analysis!$G191*(R$35-Analysis!$F197),0)+IF(R$35&gt;Analysis!$H197,Analysis!$H191*(R$35-Analysis!$H197),0)+$C42</f>
        <v>35.05752141368721</v>
      </c>
      <c r="S42" s="105">
        <f>-Analysis!$D191*S$35+Analysis!$F191*S$35^2/2+IF(S$35&gt;Analysis!$F197,Analysis!$G191*(S$35-Analysis!$F197),0)+IF(S$35&gt;Analysis!$H197,Analysis!$H191*(S$35-Analysis!$H197),0)+$C42</f>
        <v>42.37743200793301</v>
      </c>
      <c r="T42" s="105">
        <f>-Analysis!$D191*T$35+Analysis!$F191*T$35^2/2+IF(T$35&gt;Analysis!$F197,Analysis!$G191*(T$35-Analysis!$F197),0)+IF(T$35&gt;Analysis!$H197,Analysis!$H191*(T$35-Analysis!$H197),0)+$C42</f>
        <v>50.51626326884546</v>
      </c>
      <c r="U42" s="105">
        <f>-Analysis!$D191*U$35+Analysis!$F191*U$35^2/2+IF(U$35&gt;Analysis!$F197,Analysis!$G191*(U$35-Analysis!$F197),0)+IF(U$35&gt;Analysis!$H197,Analysis!$H191*(U$35-Analysis!$H197),0)+$C42</f>
        <v>59.474015196424666</v>
      </c>
      <c r="V42" s="105">
        <f>-Analysis!$D191*V$35+Analysis!$F191*V$35^2/2+IF(V$35&gt;Analysis!$F197,Analysis!$G191*(V$35-Analysis!$F197),0)+IF(V$35&gt;Analysis!$H197,Analysis!$H191*(V$35-Analysis!$H197),0)+$C42</f>
        <v>69.25068779067043</v>
      </c>
      <c r="W42" s="105">
        <f>Analysis!J203</f>
        <v>79.84628105158303</v>
      </c>
      <c r="X42" s="105">
        <f>-Analysis!$D191*X$35+Analysis!$F191*X$35^2/2+IF(X$35&gt;Analysis!$F197,Analysis!$G191*(X$35-Analysis!$F197),0)+IF(X$35&gt;Analysis!$H197,Analysis!$H191*(X$35-Analysis!$H197),0)+$C42</f>
        <v>13.661105796201142</v>
      </c>
      <c r="Y42" s="105">
        <f>-Analysis!$D191*Y$35+Analysis!$F191*Y$35^2/2+IF(Y$35&gt;Analysis!$F197,Analysis!$G191*(Y$35-Analysis!$F197),0)+IF(Y$35&gt;Analysis!$H197,Analysis!$H191*(Y$35-Analysis!$H197),0)+$C42</f>
        <v>49.30343508871513</v>
      </c>
      <c r="Z42" s="3"/>
      <c r="AA42" s="3"/>
      <c r="AB42" s="4"/>
      <c r="AC42" s="3"/>
      <c r="AD42" s="3"/>
      <c r="AE42" s="4"/>
      <c r="AF42" s="4"/>
      <c r="AG42" s="3"/>
      <c r="AH42" s="4"/>
      <c r="AI42" s="3"/>
      <c r="AJ42" s="3"/>
      <c r="AK42" s="3"/>
      <c r="AL42" s="697"/>
      <c r="AM42" s="3"/>
      <c r="AN42" s="3"/>
      <c r="AO42" s="3"/>
    </row>
    <row r="43" spans="1:41" ht="15.75">
      <c r="A43" s="375"/>
      <c r="B43" s="111" t="s">
        <v>307</v>
      </c>
      <c r="C43" s="105">
        <f>Analysis!D204</f>
        <v>16.4673875</v>
      </c>
      <c r="D43" s="105">
        <f>-Analysis!$D192*D$35+Analysis!$F192*D$35^2/2+IF(D$35&gt;Analysis!$F198,Analysis!$G192*(D$35-Analysis!$F198),0)+IF(D$35&gt;Analysis!$H198,Analysis!$H192*(D$35-Analysis!$H198),0)+$C43</f>
        <v>-2.4086904755035192</v>
      </c>
      <c r="E43" s="105">
        <f>-Analysis!$D192*E$35+Analysis!$F192*E$35^2/2+IF(E$35&gt;Analysis!$F198,Analysis!$G192*(E$35-Analysis!$F198),0)+IF(E$35&gt;Analysis!$H198,Analysis!$H192*(E$35-Analysis!$H198),0)+$C43</f>
        <v>-19.354279517673703</v>
      </c>
      <c r="F43" s="105">
        <f>-Analysis!$D192*F$35+Analysis!$F192*F$35^2/2+IF(F$35&gt;Analysis!$F198,Analysis!$G192*(F$35-Analysis!$F198),0)+IF(F$35&gt;Analysis!$H198,Analysis!$H192*(F$35-Analysis!$H198),0)+$C43</f>
        <v>-34.36937962651056</v>
      </c>
      <c r="G43" s="105">
        <f>-Analysis!$D192*G$35+Analysis!$F192*G$35^2/2+IF(G$35&gt;Analysis!$F198,Analysis!$G192*(G$35-Analysis!$F198),0)+IF(G$35&gt;Analysis!$H198,Analysis!$H192*(G$35-Analysis!$H198),0)+$C43</f>
        <v>-47.453990802014076</v>
      </c>
      <c r="H43" s="105">
        <f>-Analysis!$D192*H$35+Analysis!$F192*H$35^2/2+IF(H$35&gt;Analysis!$F198,Analysis!$G192*(H$35-Analysis!$F198),0)+IF(H$35&gt;Analysis!$H198,Analysis!$H192*(H$35-Analysis!$H198),0)+$C43</f>
        <v>-54.55811304418424</v>
      </c>
      <c r="I43" s="105">
        <f>-Analysis!$D192*I$35+Analysis!$F192*I$35^2/2+IF(I$35&gt;Analysis!$F198,Analysis!$G192*(I$35-Analysis!$F198),0)+IF(I$35&gt;Analysis!$H198,Analysis!$H192*(I$35-Analysis!$H198),0)+$C43</f>
        <v>-59.05674635302108</v>
      </c>
      <c r="J43" s="105">
        <f>-Analysis!$D192*J$35+Analysis!$F192*J$35^2/2+IF(J$35&gt;Analysis!$F198,Analysis!$G192*(J$35-Analysis!$F198),0)+IF(J$35&gt;Analysis!$H198,Analysis!$H192*(J$35-Analysis!$H198),0)+$C43</f>
        <v>-61.624890728524605</v>
      </c>
      <c r="K43" s="105">
        <f>-Analysis!$D192*K$35+Analysis!$F192*K$35^2/2+IF(K$35&gt;Analysis!$F198,Analysis!$G192*(K$35-Analysis!$F198),0)+IF(K$35&gt;Analysis!$H198,Analysis!$H192*(K$35-Analysis!$H198),0)+$C43</f>
        <v>-62.262546170694776</v>
      </c>
      <c r="L43" s="105">
        <f>-Analysis!$D192*L$35+Analysis!$F192*L$35^2/2+IF(L$35&gt;Analysis!$F198,Analysis!$G192*(L$35-Analysis!$F198),0)+IF(L$35&gt;Analysis!$H198,Analysis!$H192*(L$35-Analysis!$H198),0)+$C43</f>
        <v>-60.96971267953164</v>
      </c>
      <c r="M43" s="105">
        <f>-Analysis!$D192*M$35+Analysis!$F192*M$35^2/2+IF(M$35&gt;Analysis!$F198,Analysis!$G192*(M$35-Analysis!$F198),0)+IF(M$35&gt;Analysis!$H198,Analysis!$H192*(M$35-Analysis!$H198),0)+$C43</f>
        <v>-57.746390255035166</v>
      </c>
      <c r="N43" s="105">
        <f>-Analysis!$D192*N$35+Analysis!$F192*N$35^2/2+IF(N$35&gt;Analysis!$F198,Analysis!$G192*(N$35-Analysis!$F198),0)+IF(N$35&gt;Analysis!$H198,Analysis!$H192*(N$35-Analysis!$H198),0)+$C43</f>
        <v>-52.59257889720537</v>
      </c>
      <c r="O43" s="105">
        <f>-Analysis!$D192*O$35+Analysis!$F192*O$35^2/2+IF(O$35&gt;Analysis!$F198,Analysis!$G192*(O$35-Analysis!$F198),0)+IF(O$35&gt;Analysis!$H198,Analysis!$H192*(O$35-Analysis!$H198),0)+$C43</f>
        <v>-45.50827860604225</v>
      </c>
      <c r="P43" s="105">
        <f>-Analysis!$D192*P$35+Analysis!$F192*P$35^2/2+IF(P$35&gt;Analysis!$F198,Analysis!$G192*(P$35-Analysis!$F198),0)+IF(P$35&gt;Analysis!$H198,Analysis!$H192*(P$35-Analysis!$H198),0)+$C43</f>
        <v>-36.493489381545785</v>
      </c>
      <c r="Q43" s="105">
        <f>-Analysis!$D192*Q$35+Analysis!$F192*Q$35^2/2+IF(Q$35&gt;Analysis!$F198,Analysis!$G192*(Q$35-Analysis!$F198),0)+IF(Q$35&gt;Analysis!$H198,Analysis!$H192*(Q$35-Analysis!$H198),0)+$C43</f>
        <v>-25.548211223716024</v>
      </c>
      <c r="R43" s="105">
        <f>-Analysis!$D192*R$35+Analysis!$F192*R$35^2/2+IF(R$35&gt;Analysis!$F198,Analysis!$G192*(R$35-Analysis!$F198),0)+IF(R$35&gt;Analysis!$H198,Analysis!$H192*(R$35-Analysis!$H198),0)+$C43</f>
        <v>-12.672444132552883</v>
      </c>
      <c r="S43" s="105">
        <f>-Analysis!$D192*S$35+Analysis!$F192*S$35^2/2+IF(S$35&gt;Analysis!$F198,Analysis!$G192*(S$35-Analysis!$F198),0)+IF(S$35&gt;Analysis!$H198,Analysis!$H192*(S$35-Analysis!$H198),0)+$C43</f>
        <v>2.1338118919435516</v>
      </c>
      <c r="T43" s="105">
        <f>-Analysis!$D192*T$35+Analysis!$F192*T$35^2/2+IF(T$35&gt;Analysis!$F198,Analysis!$G192*(T$35-Analysis!$F198),0)+IF(T$35&gt;Analysis!$H198,Analysis!$H192*(T$35-Analysis!$H198),0)+$C43</f>
        <v>18.870556849773337</v>
      </c>
      <c r="U43" s="105">
        <f>-Analysis!$D192*U$35+Analysis!$F192*U$35^2/2+IF(U$35&gt;Analysis!$F198,Analysis!$G192*(U$35-Analysis!$F198),0)+IF(U$35&gt;Analysis!$H198,Analysis!$H192*(U$35-Analysis!$H198),0)+$C43</f>
        <v>37.53779074093656</v>
      </c>
      <c r="V43" s="105">
        <f>-Analysis!$D192*V$35+Analysis!$F192*V$35^2/2+IF(V$35&gt;Analysis!$F198,Analysis!$G192*(V$35-Analysis!$F198),0)+IF(V$35&gt;Analysis!$H198,Analysis!$H192*(V$35-Analysis!$H198),0)+$C43</f>
        <v>58.13551356543296</v>
      </c>
      <c r="W43" s="105">
        <f>Analysis!J204</f>
        <v>80.66372532326304</v>
      </c>
      <c r="X43" s="105">
        <f>-Analysis!$D192*X$35+Analysis!$F192*X$35^2/2+IF(X$35&gt;Analysis!$F198,Analysis!$G192*(X$35-Analysis!$F198),0)+IF(X$35&gt;Analysis!$H198,Analysis!$H192*(X$35-Analysis!$H198),0)+$C43</f>
        <v>-36.356802994439626</v>
      </c>
      <c r="Y43" s="105">
        <f>-Analysis!$D192*Y$35+Analysis!$F192*Y$35^2/2+IF(Y$35&gt;Analysis!$F198,Analysis!$G192*(Y$35-Analysis!$F198),0)+IF(Y$35&gt;Analysis!$H198,Analysis!$H192*(Y$35-Analysis!$H198),0)+$C43</f>
        <v>16.36140008436915</v>
      </c>
      <c r="Z43" s="3"/>
      <c r="AA43" s="3"/>
      <c r="AB43" s="4"/>
      <c r="AC43" s="3"/>
      <c r="AD43" s="3"/>
      <c r="AE43" s="4"/>
      <c r="AF43" s="4"/>
      <c r="AG43" s="3"/>
      <c r="AH43" s="4"/>
      <c r="AI43" s="3"/>
      <c r="AJ43" s="3"/>
      <c r="AK43" s="3"/>
      <c r="AL43" s="697"/>
      <c r="AM43" s="3"/>
      <c r="AN43" s="3"/>
      <c r="AO43" s="3"/>
    </row>
    <row r="44" spans="1:41" ht="15.75">
      <c r="A44" s="375"/>
      <c r="B44" s="111" t="s">
        <v>308</v>
      </c>
      <c r="C44" s="112">
        <f aca="true" t="shared" si="6" ref="C44:Y44">0.7*MAX(C37:C39)</f>
        <v>25.098039749999998</v>
      </c>
      <c r="D44" s="112">
        <f t="shared" si="6"/>
        <v>19.17629453508441</v>
      </c>
      <c r="E44" s="112">
        <f t="shared" si="6"/>
        <v>13.827793786835487</v>
      </c>
      <c r="F44" s="112">
        <f t="shared" si="6"/>
        <v>9.05253750525323</v>
      </c>
      <c r="G44" s="112">
        <f t="shared" si="6"/>
        <v>4.850525690337641</v>
      </c>
      <c r="H44" s="112">
        <f t="shared" si="6"/>
        <v>3.0067583420887214</v>
      </c>
      <c r="I44" s="112">
        <f t="shared" si="6"/>
        <v>2.0337354605064646</v>
      </c>
      <c r="J44" s="112">
        <f t="shared" si="6"/>
        <v>1.6339570455908818</v>
      </c>
      <c r="K44" s="112">
        <f t="shared" si="6"/>
        <v>1.8074230973419538</v>
      </c>
      <c r="L44" s="112">
        <f t="shared" si="6"/>
        <v>2.5541336157597</v>
      </c>
      <c r="M44" s="112">
        <f t="shared" si="6"/>
        <v>3.8740886008441104</v>
      </c>
      <c r="N44" s="112">
        <f t="shared" si="6"/>
        <v>5.767288052595188</v>
      </c>
      <c r="O44" s="112">
        <f t="shared" si="6"/>
        <v>8.23373197101292</v>
      </c>
      <c r="P44" s="112">
        <f t="shared" si="6"/>
        <v>11.273420356097324</v>
      </c>
      <c r="Q44" s="112">
        <f t="shared" si="6"/>
        <v>14.886353207848394</v>
      </c>
      <c r="R44" s="112">
        <f t="shared" si="6"/>
        <v>19.072530526266135</v>
      </c>
      <c r="S44" s="112">
        <f t="shared" si="6"/>
        <v>23.831952311350534</v>
      </c>
      <c r="T44" s="112">
        <f t="shared" si="6"/>
        <v>29.164618563101584</v>
      </c>
      <c r="U44" s="112">
        <f t="shared" si="6"/>
        <v>38.51596651289858</v>
      </c>
      <c r="V44" s="112">
        <f t="shared" si="6"/>
        <v>52.860408295281786</v>
      </c>
      <c r="W44" s="112">
        <f t="shared" si="6"/>
        <v>68.55619233099857</v>
      </c>
      <c r="X44" s="112">
        <f t="shared" si="6"/>
        <v>8.417153503122435</v>
      </c>
      <c r="Y44" s="112">
        <f t="shared" si="6"/>
        <v>28.367712498565748</v>
      </c>
      <c r="Z44" s="3"/>
      <c r="AA44" s="3"/>
      <c r="AB44" s="4"/>
      <c r="AC44" s="3"/>
      <c r="AD44" s="3"/>
      <c r="AE44" s="4"/>
      <c r="AF44" s="4"/>
      <c r="AG44" s="3"/>
      <c r="AH44" s="4"/>
      <c r="AI44" s="3"/>
      <c r="AJ44" s="3"/>
      <c r="AK44" s="3"/>
      <c r="AL44" s="697"/>
      <c r="AM44" s="3"/>
      <c r="AN44" s="3"/>
      <c r="AO44" s="3"/>
    </row>
    <row r="45" spans="1:41" ht="15.75">
      <c r="A45" s="375"/>
      <c r="B45" s="113" t="s">
        <v>309</v>
      </c>
      <c r="C45" s="112">
        <f aca="true" t="shared" si="7" ref="C45:Y45">0.7*MIN(C37:C39)</f>
        <v>11.52717125</v>
      </c>
      <c r="D45" s="112">
        <f t="shared" si="7"/>
        <v>-2.054330774545622</v>
      </c>
      <c r="E45" s="112">
        <f t="shared" si="7"/>
        <v>-14.284490545757913</v>
      </c>
      <c r="F45" s="112">
        <f t="shared" si="7"/>
        <v>-25.163308063636862</v>
      </c>
      <c r="G45" s="112">
        <f t="shared" si="7"/>
        <v>-34.690783328182484</v>
      </c>
      <c r="H45" s="112">
        <f t="shared" si="7"/>
        <v>-40.03191633939476</v>
      </c>
      <c r="I45" s="112">
        <f t="shared" si="7"/>
        <v>-43.5492070972737</v>
      </c>
      <c r="J45" s="112">
        <f t="shared" si="7"/>
        <v>-45.71515560181934</v>
      </c>
      <c r="K45" s="112">
        <f t="shared" si="7"/>
        <v>-46.52976185303161</v>
      </c>
      <c r="L45" s="112">
        <f t="shared" si="7"/>
        <v>-45.99302585091056</v>
      </c>
      <c r="M45" s="112">
        <f t="shared" si="7"/>
        <v>-44.1049475954562</v>
      </c>
      <c r="N45" s="112">
        <f t="shared" si="7"/>
        <v>-40.8655270866685</v>
      </c>
      <c r="O45" s="112">
        <f t="shared" si="7"/>
        <v>-36.27476432454747</v>
      </c>
      <c r="P45" s="112">
        <f t="shared" si="7"/>
        <v>-30.332659309093113</v>
      </c>
      <c r="Q45" s="112">
        <f t="shared" si="7"/>
        <v>-23.03921204030541</v>
      </c>
      <c r="R45" s="112">
        <f t="shared" si="7"/>
        <v>-14.394422518184385</v>
      </c>
      <c r="S45" s="112">
        <f t="shared" si="7"/>
        <v>-4.398290742730013</v>
      </c>
      <c r="T45" s="112">
        <f t="shared" si="7"/>
        <v>6.949183286057625</v>
      </c>
      <c r="U45" s="112">
        <f t="shared" si="7"/>
        <v>19.647999568178747</v>
      </c>
      <c r="V45" s="112">
        <f t="shared" si="7"/>
        <v>33.698158103633055</v>
      </c>
      <c r="W45" s="112">
        <f t="shared" si="7"/>
        <v>48.602084118354895</v>
      </c>
      <c r="X45" s="112">
        <f t="shared" si="7"/>
        <v>-26.607111198571946</v>
      </c>
      <c r="Y45" s="112">
        <f t="shared" si="7"/>
        <v>5.24538032765944</v>
      </c>
      <c r="Z45" s="3"/>
      <c r="AA45" s="3"/>
      <c r="AB45" s="4"/>
      <c r="AC45" s="3"/>
      <c r="AD45" s="3"/>
      <c r="AE45" s="4"/>
      <c r="AF45" s="4"/>
      <c r="AG45" s="3"/>
      <c r="AH45" s="4"/>
      <c r="AI45" s="3"/>
      <c r="AJ45" s="3"/>
      <c r="AK45" s="3"/>
      <c r="AL45" s="697"/>
      <c r="AM45" s="3"/>
      <c r="AN45" s="3"/>
      <c r="AO45" s="3"/>
    </row>
    <row r="46" spans="1:41" ht="15.75">
      <c r="A46" s="375"/>
      <c r="B46" s="113" t="s">
        <v>310</v>
      </c>
      <c r="C46" s="114">
        <f aca="true" t="shared" si="8" ref="C46:W46">MIN(C41:C45,0)</f>
        <v>0</v>
      </c>
      <c r="D46" s="114">
        <f t="shared" si="8"/>
        <v>-2.4086904755035192</v>
      </c>
      <c r="E46" s="114">
        <f t="shared" si="8"/>
        <v>-19.354279517673703</v>
      </c>
      <c r="F46" s="114">
        <f t="shared" si="8"/>
        <v>-34.36937962651056</v>
      </c>
      <c r="G46" s="114">
        <f t="shared" si="8"/>
        <v>-47.453990802014076</v>
      </c>
      <c r="H46" s="114">
        <f t="shared" si="8"/>
        <v>-54.55811304418424</v>
      </c>
      <c r="I46" s="114">
        <f t="shared" si="8"/>
        <v>-59.05674635302108</v>
      </c>
      <c r="J46" s="114">
        <f t="shared" si="8"/>
        <v>-61.624890728524605</v>
      </c>
      <c r="K46" s="114">
        <f t="shared" si="8"/>
        <v>-62.262546170694776</v>
      </c>
      <c r="L46" s="114">
        <f t="shared" si="8"/>
        <v>-60.96971267953164</v>
      </c>
      <c r="M46" s="114">
        <f t="shared" si="8"/>
        <v>-57.746390255035166</v>
      </c>
      <c r="N46" s="114">
        <f t="shared" si="8"/>
        <v>-52.59257889720537</v>
      </c>
      <c r="O46" s="114">
        <f t="shared" si="8"/>
        <v>-45.50827860604225</v>
      </c>
      <c r="P46" s="114">
        <f t="shared" si="8"/>
        <v>-36.493489381545785</v>
      </c>
      <c r="Q46" s="114">
        <f t="shared" si="8"/>
        <v>-25.548211223716024</v>
      </c>
      <c r="R46" s="114">
        <f t="shared" si="8"/>
        <v>-14.394422518184385</v>
      </c>
      <c r="S46" s="114">
        <f t="shared" si="8"/>
        <v>-4.398290742730013</v>
      </c>
      <c r="T46" s="114">
        <f t="shared" si="8"/>
        <v>0</v>
      </c>
      <c r="U46" s="114">
        <f t="shared" si="8"/>
        <v>0</v>
      </c>
      <c r="V46" s="114">
        <f t="shared" si="8"/>
        <v>0</v>
      </c>
      <c r="W46" s="114">
        <f t="shared" si="8"/>
        <v>0</v>
      </c>
      <c r="X46" s="114"/>
      <c r="Y46" s="114"/>
      <c r="Z46" s="3"/>
      <c r="AA46" s="3"/>
      <c r="AB46" s="4"/>
      <c r="AC46" s="3"/>
      <c r="AD46" s="3"/>
      <c r="AE46" s="4"/>
      <c r="AF46" s="4"/>
      <c r="AG46" s="3"/>
      <c r="AH46" s="4"/>
      <c r="AI46" s="3"/>
      <c r="AJ46" s="3"/>
      <c r="AK46" s="3"/>
      <c r="AL46" s="697"/>
      <c r="AM46" s="3"/>
      <c r="AN46" s="3"/>
      <c r="AO46" s="3"/>
    </row>
    <row r="47" spans="1:38" ht="15.75">
      <c r="A47" s="375"/>
      <c r="B47" s="107" t="s">
        <v>311</v>
      </c>
      <c r="C47" s="114">
        <f aca="true" t="shared" si="9" ref="C47:Y47">MAX(C41:C45,0)</f>
        <v>35.8543425</v>
      </c>
      <c r="D47" s="114">
        <f t="shared" si="9"/>
        <v>27.915443094245816</v>
      </c>
      <c r="E47" s="114">
        <f t="shared" si="9"/>
        <v>20.7954643551583</v>
      </c>
      <c r="F47" s="114">
        <f t="shared" si="9"/>
        <v>14.494406282737451</v>
      </c>
      <c r="G47" s="114">
        <f t="shared" si="9"/>
        <v>9.012268876983264</v>
      </c>
      <c r="H47" s="115">
        <f t="shared" si="9"/>
        <v>6.899052137895758</v>
      </c>
      <c r="I47" s="114">
        <f t="shared" si="9"/>
        <v>6.029756065474903</v>
      </c>
      <c r="J47" s="114">
        <f t="shared" si="9"/>
        <v>5.979380659720725</v>
      </c>
      <c r="K47" s="114">
        <f t="shared" si="9"/>
        <v>6.7479259206332145</v>
      </c>
      <c r="L47" s="114">
        <f t="shared" si="9"/>
        <v>8.335391848212357</v>
      </c>
      <c r="M47" s="114">
        <f t="shared" si="9"/>
        <v>10.74177844245817</v>
      </c>
      <c r="N47" s="114">
        <f t="shared" si="9"/>
        <v>13.967085703370653</v>
      </c>
      <c r="O47" s="114">
        <f t="shared" si="9"/>
        <v>18.011313630949786</v>
      </c>
      <c r="P47" s="114">
        <f t="shared" si="9"/>
        <v>22.874462225195593</v>
      </c>
      <c r="Q47" s="114">
        <f t="shared" si="9"/>
        <v>28.556531486108067</v>
      </c>
      <c r="R47" s="115">
        <f t="shared" si="9"/>
        <v>35.05752141368721</v>
      </c>
      <c r="S47" s="114">
        <f t="shared" si="9"/>
        <v>42.37743200793301</v>
      </c>
      <c r="T47" s="114">
        <f t="shared" si="9"/>
        <v>50.51626326884546</v>
      </c>
      <c r="U47" s="114">
        <f t="shared" si="9"/>
        <v>59.474015196424666</v>
      </c>
      <c r="V47" s="114">
        <f t="shared" si="9"/>
        <v>69.25068779067043</v>
      </c>
      <c r="W47" s="114">
        <f t="shared" si="9"/>
        <v>83.24680497335541</v>
      </c>
      <c r="X47" s="114">
        <f t="shared" si="9"/>
        <v>13.661105796201142</v>
      </c>
      <c r="Y47" s="114">
        <f t="shared" si="9"/>
        <v>49.30343508871513</v>
      </c>
      <c r="AL47" s="697"/>
    </row>
    <row r="48" spans="1:38" ht="15.75">
      <c r="A48" s="375"/>
      <c r="B48" s="107" t="s">
        <v>304</v>
      </c>
      <c r="C48" s="104">
        <v>0</v>
      </c>
      <c r="D48" s="104">
        <v>0</v>
      </c>
      <c r="E48" s="104">
        <v>0</v>
      </c>
      <c r="F48" s="104">
        <v>0</v>
      </c>
      <c r="G48" s="104">
        <v>0</v>
      </c>
      <c r="H48" s="104">
        <v>0</v>
      </c>
      <c r="I48" s="104">
        <v>0</v>
      </c>
      <c r="J48" s="104">
        <v>0</v>
      </c>
      <c r="K48" s="104">
        <v>0</v>
      </c>
      <c r="L48" s="104">
        <v>0</v>
      </c>
      <c r="M48" s="104">
        <v>0</v>
      </c>
      <c r="N48" s="104">
        <v>0</v>
      </c>
      <c r="O48" s="104">
        <v>0</v>
      </c>
      <c r="P48" s="104">
        <v>0</v>
      </c>
      <c r="Q48" s="104">
        <v>0</v>
      </c>
      <c r="R48" s="104">
        <v>0</v>
      </c>
      <c r="S48" s="104">
        <v>0</v>
      </c>
      <c r="T48" s="104">
        <v>0</v>
      </c>
      <c r="U48" s="104">
        <v>0</v>
      </c>
      <c r="V48" s="104">
        <v>0</v>
      </c>
      <c r="W48" s="104">
        <v>0</v>
      </c>
      <c r="X48" s="38"/>
      <c r="Y48" s="38"/>
      <c r="AL48" s="697"/>
    </row>
    <row r="49" spans="1:38" ht="15.75">
      <c r="A49" s="375"/>
      <c r="B49" s="770" t="s">
        <v>61</v>
      </c>
      <c r="C49" s="48"/>
      <c r="D49" s="48"/>
      <c r="E49" s="48"/>
      <c r="F49" s="48"/>
      <c r="G49" s="48"/>
      <c r="H49" s="48"/>
      <c r="I49" s="48"/>
      <c r="J49" s="48"/>
      <c r="K49" s="48"/>
      <c r="L49" s="48"/>
      <c r="M49" s="48"/>
      <c r="N49" s="48"/>
      <c r="O49" s="48"/>
      <c r="P49" s="48"/>
      <c r="Q49" s="48"/>
      <c r="R49" s="48"/>
      <c r="S49" s="48"/>
      <c r="T49" s="48"/>
      <c r="U49" s="48"/>
      <c r="V49" s="48"/>
      <c r="W49" s="48"/>
      <c r="X49" s="38"/>
      <c r="Y49" s="38"/>
      <c r="AL49" s="697"/>
    </row>
    <row r="50" spans="1:38" ht="15.75">
      <c r="A50" s="375"/>
      <c r="B50" s="102" t="s">
        <v>312</v>
      </c>
      <c r="C50" s="86">
        <v>0</v>
      </c>
      <c r="D50" s="86">
        <f aca="true" t="shared" si="10" ref="D50:W50">D51-$C51</f>
        <v>0.375</v>
      </c>
      <c r="E50" s="86">
        <f t="shared" si="10"/>
        <v>0.75</v>
      </c>
      <c r="F50" s="86">
        <f t="shared" si="10"/>
        <v>1.125</v>
      </c>
      <c r="G50" s="86">
        <f t="shared" si="10"/>
        <v>1.5</v>
      </c>
      <c r="H50" s="86">
        <f t="shared" si="10"/>
        <v>1.875</v>
      </c>
      <c r="I50" s="86">
        <f t="shared" si="10"/>
        <v>2.25</v>
      </c>
      <c r="J50" s="86">
        <f t="shared" si="10"/>
        <v>2.625</v>
      </c>
      <c r="K50" s="86">
        <f t="shared" si="10"/>
        <v>3</v>
      </c>
      <c r="L50" s="86">
        <f t="shared" si="10"/>
        <v>3.375</v>
      </c>
      <c r="M50" s="86">
        <f t="shared" si="10"/>
        <v>3.75</v>
      </c>
      <c r="N50" s="86">
        <f t="shared" si="10"/>
        <v>4.125</v>
      </c>
      <c r="O50" s="86">
        <f t="shared" si="10"/>
        <v>4.5</v>
      </c>
      <c r="P50" s="86">
        <f t="shared" si="10"/>
        <v>4.875</v>
      </c>
      <c r="Q50" s="86">
        <f t="shared" si="10"/>
        <v>5.25</v>
      </c>
      <c r="R50" s="86">
        <f t="shared" si="10"/>
        <v>5.625</v>
      </c>
      <c r="S50" s="86">
        <f t="shared" si="10"/>
        <v>6</v>
      </c>
      <c r="T50" s="86">
        <f t="shared" si="10"/>
        <v>6.375</v>
      </c>
      <c r="U50" s="86">
        <f t="shared" si="10"/>
        <v>6.75</v>
      </c>
      <c r="V50" s="86">
        <f t="shared" si="10"/>
        <v>7.125</v>
      </c>
      <c r="W50" s="86">
        <f t="shared" si="10"/>
        <v>7.5</v>
      </c>
      <c r="X50" s="110">
        <f>MAIN!E20/1000</f>
        <v>1.1</v>
      </c>
      <c r="Y50" s="110">
        <f>W50-MAIN!F20/1000</f>
        <v>7.05</v>
      </c>
      <c r="AL50" s="697"/>
    </row>
    <row r="51" spans="1:38" ht="15.75">
      <c r="A51" s="375"/>
      <c r="B51" s="106" t="s">
        <v>298</v>
      </c>
      <c r="C51" s="86">
        <f>W36</f>
        <v>8.999999999999996</v>
      </c>
      <c r="D51" s="86">
        <f>C51+MAIN!$C$20/20</f>
        <v>9.374999999999996</v>
      </c>
      <c r="E51" s="86">
        <f>D51+MAIN!$C$20/20</f>
        <v>9.749999999999996</v>
      </c>
      <c r="F51" s="86">
        <f>E51+MAIN!$C$20/20</f>
        <v>10.124999999999996</v>
      </c>
      <c r="G51" s="86">
        <f>F51+MAIN!$C$20/20</f>
        <v>10.499999999999996</v>
      </c>
      <c r="H51" s="86">
        <f>G51+MAIN!$C$20/20</f>
        <v>10.874999999999996</v>
      </c>
      <c r="I51" s="86">
        <f>H51+MAIN!$C$20/20</f>
        <v>11.249999999999996</v>
      </c>
      <c r="J51" s="86">
        <f>I51+MAIN!$C$20/20</f>
        <v>11.624999999999996</v>
      </c>
      <c r="K51" s="86">
        <f>J51+MAIN!$C$20/20</f>
        <v>11.999999999999996</v>
      </c>
      <c r="L51" s="86">
        <f>K51+MAIN!$C$20/20</f>
        <v>12.374999999999996</v>
      </c>
      <c r="M51" s="86">
        <f>L51+MAIN!$C$20/20</f>
        <v>12.749999999999996</v>
      </c>
      <c r="N51" s="86">
        <f>M51+MAIN!$C$20/20</f>
        <v>13.124999999999996</v>
      </c>
      <c r="O51" s="86">
        <f>N51+MAIN!$C$20/20</f>
        <v>13.499999999999996</v>
      </c>
      <c r="P51" s="86">
        <f>O51+MAIN!$C$20/20</f>
        <v>13.874999999999996</v>
      </c>
      <c r="Q51" s="86">
        <f>P51+MAIN!$C$20/20</f>
        <v>14.249999999999996</v>
      </c>
      <c r="R51" s="86">
        <f>Q51+MAIN!$C$20/20</f>
        <v>14.624999999999996</v>
      </c>
      <c r="S51" s="86">
        <f>R51+MAIN!$C$20/20</f>
        <v>14.999999999999996</v>
      </c>
      <c r="T51" s="86">
        <f>S51+MAIN!$C$20/20</f>
        <v>15.374999999999996</v>
      </c>
      <c r="U51" s="86">
        <f>T51+MAIN!$C$20/20</f>
        <v>15.749999999999996</v>
      </c>
      <c r="V51" s="86">
        <f>U51+MAIN!$C$20/20</f>
        <v>16.124999999999996</v>
      </c>
      <c r="W51" s="86">
        <f>V51+MAIN!$C$20/20</f>
        <v>16.499999999999996</v>
      </c>
      <c r="X51" s="86"/>
      <c r="Y51" s="86"/>
      <c r="AL51" s="697"/>
    </row>
    <row r="52" spans="1:38" ht="15.75">
      <c r="A52" s="375"/>
      <c r="B52" s="106" t="s">
        <v>301</v>
      </c>
      <c r="C52" s="103">
        <f>Analysis!D225</f>
        <v>97.93741761571225</v>
      </c>
      <c r="D52" s="103">
        <f>-Analysis!$D213*D$50+Analysis!$F216*D$50^2/2+IF(D$50&gt;Analysis!$F219,Analysis!$G216*(D$50-Analysis!$F219),0)+IF(D$50&gt;Analysis!$H219,Analysis!$H216*(D$50-Analysis!$H219),0)+$C52</f>
        <v>72.66396195107247</v>
      </c>
      <c r="E52" s="103">
        <f>-Analysis!$D213*E$50+Analysis!$F216*E$50^2/2+IF(E$50&gt;Analysis!$F219,Analysis!$G216*(E$50-Analysis!$F219),0)+IF(E$50&gt;Analysis!$H219,Analysis!$H216*(E$50-Analysis!$H219),0)+$C52</f>
        <v>49.53540994789102</v>
      </c>
      <c r="F52" s="103">
        <f>-Analysis!$D213*F$50+Analysis!$F216*F$50^2/2+IF(F$50&gt;Analysis!$F219,Analysis!$G216*(F$50-Analysis!$F219),0)+IF(F$50&gt;Analysis!$H219,Analysis!$H216*(F$50-Analysis!$H219),0)+$C52</f>
        <v>28.5517616061679</v>
      </c>
      <c r="G52" s="103">
        <f>-Analysis!$D213*G$50+Analysis!$F216*G$50^2/2+IF(G$50&gt;Analysis!$F219,Analysis!$G216*(G$50-Analysis!$F219),0)+IF(G$50&gt;Analysis!$H219,Analysis!$H216*(G$50-Analysis!$H219),0)+$C52</f>
        <v>9.71301692590312</v>
      </c>
      <c r="H52" s="103">
        <f>-Analysis!$D213*H$50+Analysis!$F216*H$50^2/2+IF(H$50&gt;Analysis!$F219,Analysis!$G216*(H$50-Analysis!$F219),0)+IF(H$50&gt;Analysis!$H219,Analysis!$H216*(H$50-Analysis!$H219),0)+$C52</f>
        <v>-6.980824092903319</v>
      </c>
      <c r="I52" s="103">
        <f>-Analysis!$D213*I$50+Analysis!$F216*I$50^2/2+IF(I$50&gt;Analysis!$F219,Analysis!$G216*(I$50-Analysis!$F219),0)+IF(I$50&gt;Analysis!$H219,Analysis!$H216*(I$50-Analysis!$H219),0)+$C52</f>
        <v>-21.529761450251442</v>
      </c>
      <c r="J52" s="103">
        <f>-Analysis!$D213*J$50+Analysis!$F216*J$50^2/2+IF(J$50&gt;Analysis!$F219,Analysis!$G216*(J$50-Analysis!$F219),0)+IF(J$50&gt;Analysis!$H219,Analysis!$H216*(J$50-Analysis!$H219),0)+$C52</f>
        <v>-33.933795146141236</v>
      </c>
      <c r="K52" s="103">
        <f>-Analysis!$D213*K$50+Analysis!$F216*K$50^2/2+IF(K$50&gt;Analysis!$F219,Analysis!$G216*(K$50-Analysis!$F219),0)+IF(K$50&gt;Analysis!$H219,Analysis!$H216*(K$50-Analysis!$H219),0)+$C52</f>
        <v>-44.192925180572686</v>
      </c>
      <c r="L52" s="103">
        <f>-Analysis!$D213*L$50+Analysis!$F216*L$50^2/2+IF(L$50&gt;Analysis!$F219,Analysis!$G216*(L$50-Analysis!$F219),0)+IF(L$50&gt;Analysis!$H219,Analysis!$H216*(L$50-Analysis!$H219),0)+$C52</f>
        <v>-52.30715155354575</v>
      </c>
      <c r="M52" s="103">
        <f>-Analysis!$D213*M$50+Analysis!$F216*M$50^2/2+IF(M$50&gt;Analysis!$F219,Analysis!$G216*(M$50-Analysis!$F219),0)+IF(M$50&gt;Analysis!$H219,Analysis!$H216*(M$50-Analysis!$H219),0)+$C52</f>
        <v>-58.27647426506057</v>
      </c>
      <c r="N52" s="103">
        <f>-Analysis!$D213*N$50+Analysis!$F216*N$50^2/2+IF(N$50&gt;Analysis!$F219,Analysis!$G216*(N$50-Analysis!$F219),0)+IF(N$50&gt;Analysis!$H219,Analysis!$H216*(N$50-Analysis!$H219),0)+$C52</f>
        <v>-62.100893315117005</v>
      </c>
      <c r="O52" s="103">
        <f>-Analysis!$D213*O$50+Analysis!$F216*O$50^2/2+IF(O$50&gt;Analysis!$F219,Analysis!$G216*(O$50-Analysis!$F219),0)+IF(O$50&gt;Analysis!$H219,Analysis!$H216*(O$50-Analysis!$H219),0)+$C52</f>
        <v>-63.78040870371514</v>
      </c>
      <c r="P52" s="103">
        <f>-Analysis!$D213*P$50+Analysis!$F216*P$50^2/2+IF(P$50&gt;Analysis!$F219,Analysis!$G216*(P$50-Analysis!$F219),0)+IF(P$50&gt;Analysis!$H219,Analysis!$H216*(P$50-Analysis!$H219),0)+$C52</f>
        <v>-63.31502043085489</v>
      </c>
      <c r="Q52" s="103">
        <f>-Analysis!$D213*Q$50+Analysis!$F216*Q$50^2/2+IF(Q$50&gt;Analysis!$F219,Analysis!$G216*(Q$50-Analysis!$F219),0)+IF(Q$50&gt;Analysis!$H219,Analysis!$H216*(Q$50-Analysis!$H219),0)+$C52</f>
        <v>-60.70472849653636</v>
      </c>
      <c r="R52" s="103">
        <f>-Analysis!$D213*R$50+Analysis!$F216*R$50^2/2+IF(R$50&gt;Analysis!$F219,Analysis!$G216*(R$50-Analysis!$F219),0)+IF(R$50&gt;Analysis!$H219,Analysis!$H216*(R$50-Analysis!$H219),0)+$C52</f>
        <v>-55.94953290075945</v>
      </c>
      <c r="S52" s="103">
        <f>-Analysis!$D213*S$50+Analysis!$F216*S$50^2/2+IF(S$50&gt;Analysis!$F219,Analysis!$G216*(S$50-Analysis!$F219),0)+IF(S$50&gt;Analysis!$H219,Analysis!$H216*(S$50-Analysis!$H219),0)+$C52</f>
        <v>-49.04943364352427</v>
      </c>
      <c r="T52" s="103">
        <f>-Analysis!$D213*T$50+Analysis!$F216*T$50^2/2+IF(T$50&gt;Analysis!$F219,Analysis!$G216*(T$50-Analysis!$F219),0)+IF(T$50&gt;Analysis!$H219,Analysis!$H216*(T$50-Analysis!$H219),0)+$C52</f>
        <v>-40.0044307248307</v>
      </c>
      <c r="U52" s="103">
        <f>-Analysis!$D213*U$50+Analysis!$F216*U$50^2/2+IF(U$50&gt;Analysis!$F219,Analysis!$G216*(U$50-Analysis!$F219),0)+IF(U$50&gt;Analysis!$H219,Analysis!$H216*(U$50-Analysis!$H219),0)+$C52</f>
        <v>-28.8145241446788</v>
      </c>
      <c r="V52" s="103">
        <f>-Analysis!$D213*V$50+Analysis!$F216*V$50^2/2+IF(V$50&gt;Analysis!$F219,Analysis!$G216*(V$50-Analysis!$F219),0)+IF(V$50&gt;Analysis!$H219,Analysis!$H216*(V$50-Analysis!$H219),0)+$C52</f>
        <v>-15.479713903068571</v>
      </c>
      <c r="W52" s="103">
        <f>Analysis!J225</f>
        <v>0</v>
      </c>
      <c r="X52" s="103">
        <f>-Analysis!$D213*X$50+Analysis!$F216*X$50^2/2+IF(X$50&gt;Analysis!$F219,Analysis!$G216*(X$50-Analysis!$F219),0)+IF(X$50&gt;Analysis!$H219,Analysis!$H216*(X$50-Analysis!$H219),0)+$C52</f>
        <v>29.88394115948185</v>
      </c>
      <c r="Y52" s="103">
        <f>-Analysis!$D213*Y$50+Analysis!$F216*Y$50^2/2+IF(Y$50&gt;Analysis!$F219,Analysis!$G216*(Y$50-Analysis!$F219),0)+IF(Y$50&gt;Analysis!$H219,Analysis!$H216*(Y$50-Analysis!$H219),0)+$C52</f>
        <v>-18.318268244307276</v>
      </c>
      <c r="AL52" s="697"/>
    </row>
    <row r="53" spans="1:38" ht="15.75">
      <c r="A53" s="375"/>
      <c r="B53" s="106" t="s">
        <v>302</v>
      </c>
      <c r="C53" s="103">
        <f>Analysis!D226</f>
        <v>69.431548740507</v>
      </c>
      <c r="D53" s="103">
        <f>-Analysis!$D214*D$50+Analysis!$F217*D$50^2/2+IF(D$50&gt;Analysis!$F220,Analysis!$G217*(D$50-Analysis!$F220),0)+IF(D$50&gt;Analysis!$H220,Analysis!$H217*(D$50-Analysis!$H220),0)+$C53</f>
        <v>45.58338651962748</v>
      </c>
      <c r="E53" s="103">
        <f>-Analysis!$D214*E$50+Analysis!$F217*E$50^2/2+IF(E$50&gt;Analysis!$F220,Analysis!$G217*(E$50-Analysis!$F220),0)+IF(E$50&gt;Analysis!$H220,Analysis!$H217*(E$50-Analysis!$H220),0)+$C53</f>
        <v>23.880127960206302</v>
      </c>
      <c r="F53" s="103">
        <f>-Analysis!$D214*F$50+Analysis!$F217*F$50^2/2+IF(F$50&gt;Analysis!$F220,Analysis!$G217*(F$50-Analysis!$F220),0)+IF(F$50&gt;Analysis!$H220,Analysis!$H217*(F$50-Analysis!$H220),0)+$C53</f>
        <v>4.321773062243452</v>
      </c>
      <c r="G53" s="103">
        <f>-Analysis!$D214*G$50+Analysis!$F217*G$50^2/2+IF(G$50&gt;Analysis!$F220,Analysis!$G217*(G$50-Analysis!$F220),0)+IF(G$50&gt;Analysis!$H220,Analysis!$H217*(G$50-Analysis!$H220),0)+$C53</f>
        <v>-13.091678174261062</v>
      </c>
      <c r="H53" s="103">
        <f>-Analysis!$D214*H$50+Analysis!$F217*H$50^2/2+IF(H$50&gt;Analysis!$F220,Analysis!$G217*(H$50-Analysis!$F220),0)+IF(H$50&gt;Analysis!$H220,Analysis!$H217*(H$50-Analysis!$H220),0)+$C53</f>
        <v>-28.360225749307233</v>
      </c>
      <c r="I53" s="103">
        <f>-Analysis!$D214*I$50+Analysis!$F217*I$50^2/2+IF(I$50&gt;Analysis!$F220,Analysis!$G217*(I$50-Analysis!$F220),0)+IF(I$50&gt;Analysis!$H220,Analysis!$H217*(I$50-Analysis!$H220),0)+$C53</f>
        <v>-41.48386966289509</v>
      </c>
      <c r="J53" s="103">
        <f>-Analysis!$D214*J$50+Analysis!$F217*J$50^2/2+IF(J$50&gt;Analysis!$F220,Analysis!$G217*(J$50-Analysis!$F220),0)+IF(J$50&gt;Analysis!$H220,Analysis!$H217*(J$50-Analysis!$H220),0)+$C53</f>
        <v>-52.4626099150246</v>
      </c>
      <c r="K53" s="103">
        <f>-Analysis!$D214*K$50+Analysis!$F217*K$50^2/2+IF(K$50&gt;Analysis!$F220,Analysis!$G217*(K$50-Analysis!$F220),0)+IF(K$50&gt;Analysis!$H220,Analysis!$H217*(K$50-Analysis!$H220),0)+$C53</f>
        <v>-61.2964465056958</v>
      </c>
      <c r="L53" s="103">
        <f>-Analysis!$D214*L$50+Analysis!$F217*L$50^2/2+IF(L$50&gt;Analysis!$F220,Analysis!$G217*(L$50-Analysis!$F220),0)+IF(L$50&gt;Analysis!$H220,Analysis!$H217*(L$50-Analysis!$H220),0)+$C53</f>
        <v>-67.98537943490865</v>
      </c>
      <c r="M53" s="103">
        <f>-Analysis!$D214*M$50+Analysis!$F217*M$50^2/2+IF(M$50&gt;Analysis!$F220,Analysis!$G217*(M$50-Analysis!$F220),0)+IF(M$50&gt;Analysis!$H220,Analysis!$H217*(M$50-Analysis!$H220),0)+$C53</f>
        <v>-72.52940870266315</v>
      </c>
      <c r="N53" s="103">
        <f>-Analysis!$D214*N$50+Analysis!$F217*N$50^2/2+IF(N$50&gt;Analysis!$F220,Analysis!$G217*(N$50-Analysis!$F220),0)+IF(N$50&gt;Analysis!$H220,Analysis!$H217*(N$50-Analysis!$H220),0)+$C53</f>
        <v>-74.92853430895931</v>
      </c>
      <c r="O53" s="103">
        <f>-Analysis!$D214*O$50+Analysis!$F217*O$50^2/2+IF(O$50&gt;Analysis!$F220,Analysis!$G217*(O$50-Analysis!$F220),0)+IF(O$50&gt;Analysis!$H220,Analysis!$H217*(O$50-Analysis!$H220),0)+$C53</f>
        <v>-75.18275625379718</v>
      </c>
      <c r="P53" s="103">
        <f>-Analysis!$D214*P$50+Analysis!$F217*P$50^2/2+IF(P$50&gt;Analysis!$F220,Analysis!$G217*(P$50-Analysis!$F220),0)+IF(P$50&gt;Analysis!$H220,Analysis!$H217*(P$50-Analysis!$H220),0)+$C53</f>
        <v>-73.29207453717672</v>
      </c>
      <c r="Q53" s="103">
        <f>-Analysis!$D214*Q$50+Analysis!$F217*Q$50^2/2+IF(Q$50&gt;Analysis!$F220,Analysis!$G217*(Q$50-Analysis!$F220),0)+IF(Q$50&gt;Analysis!$H220,Analysis!$H217*(Q$50-Analysis!$H220),0)+$C53</f>
        <v>-69.25648915909787</v>
      </c>
      <c r="R53" s="103">
        <f>-Analysis!$D214*R$50+Analysis!$F217*R$50^2/2+IF(R$50&gt;Analysis!$F220,Analysis!$G217*(R$50-Analysis!$F220),0)+IF(R$50&gt;Analysis!$H220,Analysis!$H217*(R$50-Analysis!$H220),0)+$C53</f>
        <v>-63.07600011956069</v>
      </c>
      <c r="S53" s="103">
        <f>-Analysis!$D214*S$50+Analysis!$F217*S$50^2/2+IF(S$50&gt;Analysis!$F220,Analysis!$G217*(S$50-Analysis!$F220),0)+IF(S$50&gt;Analysis!$H220,Analysis!$H217*(S$50-Analysis!$H220),0)+$C53</f>
        <v>-54.75060741856524</v>
      </c>
      <c r="T53" s="103">
        <f>-Analysis!$D214*T$50+Analysis!$F217*T$50^2/2+IF(T$50&gt;Analysis!$F220,Analysis!$G217*(T$50-Analysis!$F220),0)+IF(T$50&gt;Analysis!$H220,Analysis!$H217*(T$50-Analysis!$H220),0)+$C53</f>
        <v>-44.28031105611146</v>
      </c>
      <c r="U53" s="103">
        <f>-Analysis!$D214*U$50+Analysis!$F217*U$50^2/2+IF(U$50&gt;Analysis!$F220,Analysis!$G217*(U$50-Analysis!$F220),0)+IF(U$50&gt;Analysis!$H220,Analysis!$H217*(U$50-Analysis!$H220),0)+$C53</f>
        <v>-31.66511103219929</v>
      </c>
      <c r="V53" s="103">
        <f>-Analysis!$D214*V$50+Analysis!$F217*V$50^2/2+IF(V$50&gt;Analysis!$F220,Analysis!$G217*(V$50-Analysis!$F220),0)+IF(V$50&gt;Analysis!$H220,Analysis!$H217*(V$50-Analysis!$H220),0)+$C53</f>
        <v>-16.90500734682874</v>
      </c>
      <c r="W53" s="103">
        <f>Analysis!J226</f>
        <v>0</v>
      </c>
      <c r="X53" s="103">
        <f>-Analysis!$D214*X$50+Analysis!$F217*X$50^2/2+IF(X$50&gt;Analysis!$F220,Analysis!$G217*(X$50-Analysis!$F220),0)+IF(X$50&gt;Analysis!$H220,Analysis!$H217*(X$50-Analysis!$H220),0)+$C53</f>
        <v>5.558933052640057</v>
      </c>
      <c r="Y53" s="103">
        <f>-Analysis!$D214*Y$50+Analysis!$F217*Y$50^2/2+IF(Y$50&gt;Analysis!$F220,Analysis!$G217*(Y$50-Analysis!$F220),0)+IF(Y$50&gt;Analysis!$H220,Analysis!$H217*(Y$50-Analysis!$H220),0)+$C53</f>
        <v>-20.028620376819532</v>
      </c>
      <c r="AL53" s="697"/>
    </row>
    <row r="54" spans="1:38" ht="15.75">
      <c r="A54" s="375"/>
      <c r="B54" s="107" t="s">
        <v>303</v>
      </c>
      <c r="C54" s="103">
        <f>Analysis!D227</f>
        <v>70.14236984631569</v>
      </c>
      <c r="D54" s="103">
        <f>-Analysis!$D215*D$50+Analysis!$F218*D$50^2/2+IF(D$50&gt;Analysis!$F221,Analysis!$G218*(D$50-Analysis!$F221),0)+IF(D$50&gt;Analysis!$H221,Analysis!$H218*(D$50-Analysis!$H221),0)+$C54</f>
        <v>58.18769079410407</v>
      </c>
      <c r="E54" s="103">
        <f>-Analysis!$D215*E$50+Analysis!$F218*E$50^2/2+IF(E$50&gt;Analysis!$F221,Analysis!$G218*(E$50-Analysis!$F221),0)+IF(E$50&gt;Analysis!$H221,Analysis!$H218*(E$50-Analysis!$H221),0)+$C54</f>
        <v>47.12222864293412</v>
      </c>
      <c r="F54" s="103">
        <f>-Analysis!$D215*F$50+Analysis!$F218*F$50^2/2+IF(F$50&gt;Analysis!$F221,Analysis!$G218*(F$50-Analysis!$F221),0)+IF(F$50&gt;Analysis!$H221,Analysis!$H218*(F$50-Analysis!$H221),0)+$C54</f>
        <v>36.945983392805836</v>
      </c>
      <c r="G54" s="103">
        <f>-Analysis!$D215*G$50+Analysis!$F218*G$50^2/2+IF(G$50&gt;Analysis!$F221,Analysis!$G218*(G$50-Analysis!$F221),0)+IF(G$50&gt;Analysis!$H221,Analysis!$H218*(G$50-Analysis!$H221),0)+$C54</f>
        <v>27.658955043719217</v>
      </c>
      <c r="H54" s="103">
        <f>-Analysis!$D215*H$50+Analysis!$F218*H$50^2/2+IF(H$50&gt;Analysis!$F221,Analysis!$G218*(H$50-Analysis!$F221),0)+IF(H$50&gt;Analysis!$H221,Analysis!$H218*(H$50-Analysis!$H221),0)+$C54</f>
        <v>19.26114359567427</v>
      </c>
      <c r="I54" s="103">
        <f>-Analysis!$D215*I$50+Analysis!$F218*I$50^2/2+IF(I$50&gt;Analysis!$F221,Analysis!$G218*(I$50-Analysis!$F221),0)+IF(I$50&gt;Analysis!$H221,Analysis!$H218*(I$50-Analysis!$H221),0)+$C54</f>
        <v>11.752549048670986</v>
      </c>
      <c r="J54" s="103">
        <f>-Analysis!$D215*J$50+Analysis!$F218*J$50^2/2+IF(J$50&gt;Analysis!$F221,Analysis!$G218*(J$50-Analysis!$F221),0)+IF(J$50&gt;Analysis!$H221,Analysis!$H218*(J$50-Analysis!$H221),0)+$C54</f>
        <v>5.133171402709365</v>
      </c>
      <c r="K54" s="103">
        <f>-Analysis!$D215*K$50+Analysis!$F218*K$50^2/2+IF(K$50&gt;Analysis!$F221,Analysis!$G218*(K$50-Analysis!$F221),0)+IF(K$50&gt;Analysis!$H221,Analysis!$H218*(K$50-Analysis!$H221),0)+$C54</f>
        <v>-0.596989342210577</v>
      </c>
      <c r="L54" s="103">
        <f>-Analysis!$D215*L$50+Analysis!$F218*L$50^2/2+IF(L$50&gt;Analysis!$F221,Analysis!$G218*(L$50-Analysis!$F221),0)+IF(L$50&gt;Analysis!$H221,Analysis!$H218*(L$50-Analysis!$H221),0)+$C54</f>
        <v>-5.437933186088856</v>
      </c>
      <c r="M54" s="103">
        <f>-Analysis!$D215*M$50+Analysis!$F218*M$50^2/2+IF(M$50&gt;Analysis!$F221,Analysis!$G218*(M$50-Analysis!$F221),0)+IF(M$50&gt;Analysis!$H221,Analysis!$H218*(M$50-Analysis!$H221),0)+$C54</f>
        <v>-9.38966012892547</v>
      </c>
      <c r="N54" s="103">
        <f>-Analysis!$D215*N$50+Analysis!$F218*N$50^2/2+IF(N$50&gt;Analysis!$F221,Analysis!$G218*(N$50-Analysis!$F221),0)+IF(N$50&gt;Analysis!$H221,Analysis!$H218*(N$50-Analysis!$H221),0)+$C54</f>
        <v>-12.45217017072045</v>
      </c>
      <c r="O54" s="103">
        <f>-Analysis!$D215*O$50+Analysis!$F218*O$50^2/2+IF(O$50&gt;Analysis!$F221,Analysis!$G218*(O$50-Analysis!$F221),0)+IF(O$50&gt;Analysis!$H221,Analysis!$H218*(O$50-Analysis!$H221),0)+$C54</f>
        <v>-14.625463311473723</v>
      </c>
      <c r="P54" s="103">
        <f>-Analysis!$D215*P$50+Analysis!$F218*P$50^2/2+IF(P$50&gt;Analysis!$F221,Analysis!$G218*(P$50-Analysis!$F221),0)+IF(P$50&gt;Analysis!$H221,Analysis!$H218*(P$50-Analysis!$H221),0)+$C54</f>
        <v>-15.909539551185347</v>
      </c>
      <c r="Q54" s="103">
        <f>-Analysis!$D215*Q$50+Analysis!$F218*Q$50^2/2+IF(Q$50&gt;Analysis!$F221,Analysis!$G218*(Q$50-Analysis!$F221),0)+IF(Q$50&gt;Analysis!$H221,Analysis!$H218*(Q$50-Analysis!$H221),0)+$C54</f>
        <v>-16.304398889855293</v>
      </c>
      <c r="R54" s="103">
        <f>-Analysis!$D215*R$50+Analysis!$F218*R$50^2/2+IF(R$50&gt;Analysis!$F221,Analysis!$G218*(R$50-Analysis!$F221),0)+IF(R$50&gt;Analysis!$H221,Analysis!$H218*(R$50-Analysis!$H221),0)+$C54</f>
        <v>-15.810041327483574</v>
      </c>
      <c r="S54" s="103">
        <f>-Analysis!$D215*S$50+Analysis!$F218*S$50^2/2+IF(S$50&gt;Analysis!$F221,Analysis!$G218*(S$50-Analysis!$F221),0)+IF(S$50&gt;Analysis!$H221,Analysis!$H218*(S$50-Analysis!$H221),0)+$C54</f>
        <v>-14.426466864070193</v>
      </c>
      <c r="T54" s="103">
        <f>-Analysis!$D215*T$50+Analysis!$F218*T$50^2/2+IF(T$50&gt;Analysis!$F221,Analysis!$G218*(T$50-Analysis!$F221),0)+IF(T$50&gt;Analysis!$H221,Analysis!$H218*(T$50-Analysis!$H221),0)+$C54</f>
        <v>-12.153675499615133</v>
      </c>
      <c r="U54" s="103">
        <f>-Analysis!$D215*U$50+Analysis!$F218*U$50^2/2+IF(U$50&gt;Analysis!$F221,Analysis!$G218*(U$50-Analysis!$F221),0)+IF(U$50&gt;Analysis!$H221,Analysis!$H218*(U$50-Analysis!$H221),0)+$C54</f>
        <v>-8.99166723411841</v>
      </c>
      <c r="V54" s="103">
        <f>-Analysis!$D215*V$50+Analysis!$F218*V$50^2/2+IF(V$50&gt;Analysis!$F221,Analysis!$G218*(V$50-Analysis!$F221),0)+IF(V$50&gt;Analysis!$H221,Analysis!$H218*(V$50-Analysis!$H221),0)+$C54</f>
        <v>-4.9404420675800225</v>
      </c>
      <c r="W54" s="103">
        <f>Analysis!J227</f>
        <v>0</v>
      </c>
      <c r="X54" s="103">
        <f>-Analysis!$D215*X$50+Analysis!$F218*X$50^2/2+IF(X$50&gt;Analysis!$F221,Analysis!$G218*(X$50-Analysis!$F221),0)+IF(X$50&gt;Analysis!$H221,Analysis!$H218*(X$50-Analysis!$H221),0)+$C54</f>
        <v>37.5967352170042</v>
      </c>
      <c r="Y54" s="103">
        <f>-Analysis!$D215*Y$50+Analysis!$F218*Y$50^2/2+IF(Y$50&gt;Analysis!$F221,Analysis!$G218*(Y$50-Analysis!$F221),0)+IF(Y$50&gt;Analysis!$H221,Analysis!$H218*(Y$50-Analysis!$H221),0)+$C54</f>
        <v>-5.821824452971015</v>
      </c>
      <c r="AL54" s="697"/>
    </row>
    <row r="55" spans="1:38" ht="15.75">
      <c r="A55" s="375"/>
      <c r="B55" s="108" t="s">
        <v>304</v>
      </c>
      <c r="C55" s="104">
        <v>0</v>
      </c>
      <c r="D55" s="104">
        <v>0</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0</v>
      </c>
      <c r="X55" s="104"/>
      <c r="Y55" s="104"/>
      <c r="AL55" s="697"/>
    </row>
    <row r="56" spans="1:38" ht="15.75">
      <c r="A56" s="375"/>
      <c r="B56" s="108" t="s">
        <v>305</v>
      </c>
      <c r="C56" s="105">
        <f>Analysis!D228</f>
        <v>83.24680497335541</v>
      </c>
      <c r="D56" s="105">
        <f>-Analysis!$D216*D$50+Analysis!$F216*D$50^2/2+IF(D$50&gt;Analysis!$F222,Analysis!$G216*(D$50-Analysis!$F222),0)+IF(D$50&gt;Analysis!$H222,Analysis!$H216*(D$50-Analysis!$H222),0)+$C56</f>
        <v>58.70787994083348</v>
      </c>
      <c r="E56" s="105">
        <f>-Analysis!$D216*E$50+Analysis!$F216*E$50^2/2+IF(E$50&gt;Analysis!$F222,Analysis!$G216*(E$50-Analysis!$F222),0)+IF(E$50&gt;Analysis!$H222,Analysis!$H216*(E$50-Analysis!$H222),0)+$C56</f>
        <v>36.31385856976987</v>
      </c>
      <c r="F56" s="105">
        <f>-Analysis!$D216*F$50+Analysis!$F216*F$50^2/2+IF(F$50&gt;Analysis!$F222,Analysis!$G216*(F$50-Analysis!$F222),0)+IF(F$50&gt;Analysis!$H222,Analysis!$H216*(F$50-Analysis!$H222),0)+$C56</f>
        <v>16.06474086016459</v>
      </c>
      <c r="G56" s="105">
        <f>-Analysis!$D216*G$50+Analysis!$F216*G$50^2/2+IF(G$50&gt;Analysis!$F222,Analysis!$G216*(G$50-Analysis!$F222),0)+IF(G$50&gt;Analysis!$H222,Analysis!$H216*(G$50-Analysis!$H222),0)+$C56</f>
        <v>-2.0394731879823382</v>
      </c>
      <c r="H56" s="105">
        <f>-Analysis!$D216*H$50+Analysis!$F216*H$50^2/2+IF(H$50&gt;Analysis!$F222,Analysis!$G216*(H$50-Analysis!$F222),0)+IF(H$50&gt;Analysis!$H222,Analysis!$H216*(H$50-Analysis!$H222),0)+$C56</f>
        <v>-17.998783574670938</v>
      </c>
      <c r="I56" s="105">
        <f>-Analysis!$D216*I$50+Analysis!$F216*I$50^2/2+IF(I$50&gt;Analysis!$F222,Analysis!$G216*(I$50-Analysis!$F222),0)+IF(I$50&gt;Analysis!$H222,Analysis!$H216*(I$50-Analysis!$H222),0)+$C56</f>
        <v>-31.813190299901223</v>
      </c>
      <c r="J56" s="105">
        <f>-Analysis!$D216*J$50+Analysis!$F216*J$50^2/2+IF(J$50&gt;Analysis!$F222,Analysis!$G216*(J$50-Analysis!$F222),0)+IF(J$50&gt;Analysis!$H222,Analysis!$H216*(J$50-Analysis!$H222),0)+$C56</f>
        <v>-43.482693363673164</v>
      </c>
      <c r="K56" s="105">
        <f>-Analysis!$D216*K$50+Analysis!$F216*K$50^2/2+IF(K$50&gt;Analysis!$F222,Analysis!$G216*(K$50-Analysis!$F222),0)+IF(K$50&gt;Analysis!$H222,Analysis!$H216*(K$50-Analysis!$H222),0)+$C56</f>
        <v>-53.00729276598676</v>
      </c>
      <c r="L56" s="105">
        <f>-Analysis!$D216*L$50+Analysis!$F216*L$50^2/2+IF(L$50&gt;Analysis!$F222,Analysis!$G216*(L$50-Analysis!$F222),0)+IF(L$50&gt;Analysis!$H222,Analysis!$H216*(L$50-Analysis!$H222),0)+$C56</f>
        <v>-60.386988506842016</v>
      </c>
      <c r="M56" s="105">
        <f>-Analysis!$D216*M$50+Analysis!$F216*M$50^2/2+IF(M$50&gt;Analysis!$F222,Analysis!$G216*(M$50-Analysis!$F222),0)+IF(M$50&gt;Analysis!$H222,Analysis!$H216*(M$50-Analysis!$H222),0)+$C56</f>
        <v>-65.62178058623897</v>
      </c>
      <c r="N56" s="105">
        <f>-Analysis!$D216*N$50+Analysis!$F216*N$50^2/2+IF(N$50&gt;Analysis!$F222,Analysis!$G216*(N$50-Analysis!$F222),0)+IF(N$50&gt;Analysis!$H222,Analysis!$H216*(N$50-Analysis!$H222),0)+$C56</f>
        <v>-68.7116690041776</v>
      </c>
      <c r="O56" s="105">
        <f>-Analysis!$D216*O$50+Analysis!$F216*O$50^2/2+IF(O$50&gt;Analysis!$F222,Analysis!$G216*(O$50-Analysis!$F222),0)+IF(O$50&gt;Analysis!$H222,Analysis!$H216*(O$50-Analysis!$H222),0)+$C56</f>
        <v>-69.65665376065786</v>
      </c>
      <c r="P56" s="105">
        <f>-Analysis!$D216*P$50+Analysis!$F216*P$50^2/2+IF(P$50&gt;Analysis!$F222,Analysis!$G216*(P$50-Analysis!$F222),0)+IF(P$50&gt;Analysis!$H222,Analysis!$H216*(P$50-Analysis!$H222),0)+$C56</f>
        <v>-68.4567348556798</v>
      </c>
      <c r="Q56" s="105">
        <f>-Analysis!$D216*Q$50+Analysis!$F216*Q$50^2/2+IF(Q$50&gt;Analysis!$F222,Analysis!$G216*(Q$50-Analysis!$F222),0)+IF(Q$50&gt;Analysis!$H222,Analysis!$H216*(Q$50-Analysis!$H222),0)+$C56</f>
        <v>-65.1119122892434</v>
      </c>
      <c r="R56" s="105">
        <f>-Analysis!$D216*R$50+Analysis!$F216*R$50^2/2+IF(R$50&gt;Analysis!$F222,Analysis!$G216*(R$50-Analysis!$F222),0)+IF(R$50&gt;Analysis!$H222,Analysis!$H216*(R$50-Analysis!$H222),0)+$C56</f>
        <v>-59.622186061348685</v>
      </c>
      <c r="S56" s="105">
        <f>-Analysis!$D216*S$50+Analysis!$F216*S$50^2/2+IF(S$50&gt;Analysis!$F222,Analysis!$G216*(S$50-Analysis!$F222),0)+IF(S$50&gt;Analysis!$H222,Analysis!$H216*(S$50-Analysis!$H222),0)+$C56</f>
        <v>-51.98755617199558</v>
      </c>
      <c r="T56" s="105">
        <f>-Analysis!$D216*T$50+Analysis!$F216*T$50^2/2+IF(T$50&gt;Analysis!$F222,Analysis!$G216*(T$50-Analysis!$F222),0)+IF(T$50&gt;Analysis!$H222,Analysis!$H216*(T$50-Analysis!$H222),0)+$C56</f>
        <v>-42.2080226211842</v>
      </c>
      <c r="U56" s="105">
        <f>-Analysis!$D216*U$50+Analysis!$F216*U$50^2/2+IF(U$50&gt;Analysis!$F222,Analysis!$G216*(U$50-Analysis!$F222),0)+IF(U$50&gt;Analysis!$H222,Analysis!$H216*(U$50-Analysis!$H222),0)+$C56</f>
        <v>-30.28358540891449</v>
      </c>
      <c r="V56" s="105">
        <f>-Analysis!$D216*V$50+Analysis!$F216*V$50^2/2+IF(V$50&gt;Analysis!$F222,Analysis!$G216*(V$50-Analysis!$F222),0)+IF(V$50&gt;Analysis!$H222,Analysis!$H216*(V$50-Analysis!$H222),0)+$C56</f>
        <v>-16.214244535186396</v>
      </c>
      <c r="W56" s="105">
        <f>Analysis!J228</f>
        <v>0</v>
      </c>
      <c r="X56" s="105">
        <f>-Analysis!$D216*X$50+Analysis!$F216*X$50^2/2+IF(X$50&gt;Analysis!$F222,Analysis!$G216*(X$50-Analysis!$F222),0)+IF(X$50&gt;Analysis!$H222,Analysis!$H216*(X$50-Analysis!$H222),0)+$C56</f>
        <v>17.34795170467069</v>
      </c>
      <c r="Y56" s="105">
        <f>-Analysis!$D216*Y$50+Analysis!$F216*Y$50^2/2+IF(Y$50&gt;Analysis!$F222,Analysis!$G216*(Y$50-Analysis!$F222),0)+IF(Y$50&gt;Analysis!$H222,Analysis!$H216*(Y$50-Analysis!$H222),0)+$C56</f>
        <v>-19.199705002848674</v>
      </c>
      <c r="AL56" s="697"/>
    </row>
    <row r="57" spans="1:38" ht="15.75">
      <c r="A57" s="375"/>
      <c r="B57" s="108" t="s">
        <v>306</v>
      </c>
      <c r="C57" s="105">
        <f>Analysis!D229</f>
        <v>79.84628105158303</v>
      </c>
      <c r="D57" s="105">
        <f>-Analysis!$D217*D$50+Analysis!$F217*D$50^2/2+IF(D$50&gt;Analysis!$F223,Analysis!$G217*(D$50-Analysis!$F223),0)+IF(D$50&gt;Analysis!$H223,Analysis!$H217*(D$50-Analysis!$H223),0)+$C57</f>
        <v>55.47738221514972</v>
      </c>
      <c r="E57" s="105">
        <f>-Analysis!$D217*E$50+Analysis!$F217*E$50^2/2+IF(E$50&gt;Analysis!$F223,Analysis!$G217*(E$50-Analysis!$F223),0)+IF(E$50&gt;Analysis!$H223,Analysis!$H217*(E$50-Analysis!$H223),0)+$C57</f>
        <v>33.25338704017472</v>
      </c>
      <c r="F57" s="105">
        <f>-Analysis!$D217*F$50+Analysis!$F217*F$50^2/2+IF(F$50&gt;Analysis!$F223,Analysis!$G217*(F$50-Analysis!$F223),0)+IF(F$50&gt;Analysis!$H223,Analysis!$H217*(F$50-Analysis!$H223),0)+$C57</f>
        <v>13.174295526658057</v>
      </c>
      <c r="G57" s="105">
        <f>-Analysis!$D217*G$50+Analysis!$F217*G$50^2/2+IF(G$50&gt;Analysis!$F223,Analysis!$G217*(G$50-Analysis!$F223),0)+IF(G$50&gt;Analysis!$H223,Analysis!$H217*(G$50-Analysis!$H223),0)+$C57</f>
        <v>-4.7598923254002585</v>
      </c>
      <c r="H57" s="105">
        <f>-Analysis!$D217*H$50+Analysis!$F217*H$50^2/2+IF(H$50&gt;Analysis!$F223,Analysis!$G217*(H$50-Analysis!$F223),0)+IF(H$50&gt;Analysis!$H223,Analysis!$H217*(H$50-Analysis!$H223),0)+$C57</f>
        <v>-20.54917651600023</v>
      </c>
      <c r="I57" s="105">
        <f>-Analysis!$D217*I$50+Analysis!$F217*I$50^2/2+IF(I$50&gt;Analysis!$F223,Analysis!$G217*(I$50-Analysis!$F223),0)+IF(I$50&gt;Analysis!$H223,Analysis!$H217*(I$50-Analysis!$H223),0)+$C57</f>
        <v>-34.193557045141915</v>
      </c>
      <c r="J57" s="105">
        <f>-Analysis!$D217*J$50+Analysis!$F217*J$50^2/2+IF(J$50&gt;Analysis!$F223,Analysis!$G217*(J$50-Analysis!$F223),0)+IF(J$50&gt;Analysis!$H223,Analysis!$H217*(J$50-Analysis!$H223),0)+$C57</f>
        <v>-45.69303391282523</v>
      </c>
      <c r="K57" s="105">
        <f>-Analysis!$D217*K$50+Analysis!$F217*K$50^2/2+IF(K$50&gt;Analysis!$F223,Analysis!$G217*(K$50-Analysis!$F223),0)+IF(K$50&gt;Analysis!$H223,Analysis!$H217*(K$50-Analysis!$H223),0)+$C57</f>
        <v>-55.04760711905023</v>
      </c>
      <c r="L57" s="105">
        <f>-Analysis!$D217*L$50+Analysis!$F217*L$50^2/2+IF(L$50&gt;Analysis!$F223,Analysis!$G217*(L$50-Analysis!$F223),0)+IF(L$50&gt;Analysis!$H223,Analysis!$H217*(L$50-Analysis!$H223),0)+$C57</f>
        <v>-62.25727666381688</v>
      </c>
      <c r="M57" s="105">
        <f>-Analysis!$D217*M$50+Analysis!$F217*M$50^2/2+IF(M$50&gt;Analysis!$F223,Analysis!$G217*(M$50-Analysis!$F223),0)+IF(M$50&gt;Analysis!$H223,Analysis!$H217*(M$50-Analysis!$H223),0)+$C57</f>
        <v>-67.32204254712518</v>
      </c>
      <c r="N57" s="105">
        <f>-Analysis!$D217*N$50+Analysis!$F217*N$50^2/2+IF(N$50&gt;Analysis!$F223,Analysis!$G217*(N$50-Analysis!$F223),0)+IF(N$50&gt;Analysis!$H223,Analysis!$H217*(N$50-Analysis!$H223),0)+$C57</f>
        <v>-70.2419047689752</v>
      </c>
      <c r="O57" s="105">
        <f>-Analysis!$D217*O$50+Analysis!$F217*O$50^2/2+IF(O$50&gt;Analysis!$F223,Analysis!$G217*(O$50-Analysis!$F223),0)+IF(O$50&gt;Analysis!$H223,Analysis!$H217*(O$50-Analysis!$H223),0)+$C57</f>
        <v>-71.01686332936687</v>
      </c>
      <c r="P57" s="105">
        <f>-Analysis!$D217*P$50+Analysis!$F217*P$50^2/2+IF(P$50&gt;Analysis!$F223,Analysis!$G217*(P$50-Analysis!$F223),0)+IF(P$50&gt;Analysis!$H223,Analysis!$H217*(P$50-Analysis!$H223),0)+$C57</f>
        <v>-69.64691822830015</v>
      </c>
      <c r="Q57" s="105">
        <f>-Analysis!$D217*Q$50+Analysis!$F217*Q$50^2/2+IF(Q$50&gt;Analysis!$F223,Analysis!$G217*(Q$50-Analysis!$F223),0)+IF(Q$50&gt;Analysis!$H223,Analysis!$H217*(Q$50-Analysis!$H223),0)+$C57</f>
        <v>-66.13206946577516</v>
      </c>
      <c r="R57" s="105">
        <f>-Analysis!$D217*R$50+Analysis!$F217*R$50^2/2+IF(R$50&gt;Analysis!$F223,Analysis!$G217*(R$50-Analysis!$F223),0)+IF(R$50&gt;Analysis!$H223,Analysis!$H217*(R$50-Analysis!$H223),0)+$C57</f>
        <v>-60.47231704179178</v>
      </c>
      <c r="S57" s="105">
        <f>-Analysis!$D217*S$50+Analysis!$F217*S$50^2/2+IF(S$50&gt;Analysis!$F223,Analysis!$G217*(S$50-Analysis!$F223),0)+IF(S$50&gt;Analysis!$H223,Analysis!$H217*(S$50-Analysis!$H223),0)+$C57</f>
        <v>-52.66766095635013</v>
      </c>
      <c r="T57" s="105">
        <f>-Analysis!$D217*T$50+Analysis!$F217*T$50^2/2+IF(T$50&gt;Analysis!$F223,Analysis!$G217*(T$50-Analysis!$F223),0)+IF(T$50&gt;Analysis!$H223,Analysis!$H217*(T$50-Analysis!$H223),0)+$C57</f>
        <v>-42.718101209450154</v>
      </c>
      <c r="U57" s="105">
        <f>-Analysis!$D217*U$50+Analysis!$F217*U$50^2/2+IF(U$50&gt;Analysis!$F223,Analysis!$G217*(U$50-Analysis!$F223),0)+IF(U$50&gt;Analysis!$H223,Analysis!$H217*(U$50-Analysis!$H223),0)+$C57</f>
        <v>-30.62363780109179</v>
      </c>
      <c r="V57" s="105">
        <f>-Analysis!$D217*V$50+Analysis!$F217*V$50^2/2+IF(V$50&gt;Analysis!$F223,Analysis!$G217*(V$50-Analysis!$F223),0)+IF(V$50&gt;Analysis!$H223,Analysis!$H217*(V$50-Analysis!$H223),0)+$C57</f>
        <v>-16.384270731275095</v>
      </c>
      <c r="W57" s="105">
        <f>Analysis!J229</f>
        <v>0</v>
      </c>
      <c r="X57" s="105">
        <f>-Analysis!$D217*X$50+Analysis!$F217*X$50^2/2+IF(X$50&gt;Analysis!$F223,Analysis!$G217*(X$50-Analysis!$F223),0)+IF(X$50&gt;Analysis!$H223,Analysis!$H217*(X$50-Analysis!$H223),0)+$C57</f>
        <v>14.446171291424918</v>
      </c>
      <c r="Y57" s="105">
        <f>-Analysis!$D217*Y$50+Analysis!$F217*Y$50^2/2+IF(Y$50&gt;Analysis!$F223,Analysis!$G217*(Y$50-Analysis!$F223),0)+IF(Y$50&gt;Analysis!$H223,Analysis!$H217*(Y$50-Analysis!$H223),0)+$C57</f>
        <v>-19.403736438155093</v>
      </c>
      <c r="AL57" s="697"/>
    </row>
    <row r="58" spans="1:38" ht="15.75">
      <c r="A58" s="375"/>
      <c r="B58" s="111" t="s">
        <v>307</v>
      </c>
      <c r="C58" s="105">
        <f>Analysis!D230</f>
        <v>80.66372532326304</v>
      </c>
      <c r="D58" s="105">
        <f>-Analysis!$D218*D$50+Analysis!$F218*D$50^2/2+IF(D$50&gt;Analysis!$F224,Analysis!$G218*(D$50-Analysis!$F224),0)+IF(D$50&gt;Analysis!$H224,Analysis!$H218*(D$50-Analysis!$H224),0)+$C58</f>
        <v>68.18297849720405</v>
      </c>
      <c r="E58" s="105">
        <f>-Analysis!$D218*E$50+Analysis!$F218*E$50^2/2+IF(E$50&gt;Analysis!$F224,Analysis!$G218*(E$50-Analysis!$F224),0)+IF(E$50&gt;Analysis!$H224,Analysis!$H218*(E$50-Analysis!$H224),0)+$C58</f>
        <v>56.591448572186735</v>
      </c>
      <c r="F58" s="105">
        <f>-Analysis!$D218*F$50+Analysis!$F218*F$50^2/2+IF(F$50&gt;Analysis!$F224,Analysis!$G218*(F$50-Analysis!$F224),0)+IF(F$50&gt;Analysis!$H224,Analysis!$H218*(F$50-Analysis!$H224),0)+$C58</f>
        <v>45.88913554821108</v>
      </c>
      <c r="G58" s="105">
        <f>-Analysis!$D218*G$50+Analysis!$F218*G$50^2/2+IF(G$50&gt;Analysis!$F224,Analysis!$G218*(G$50-Analysis!$F224),0)+IF(G$50&gt;Analysis!$H224,Analysis!$H218*(G$50-Analysis!$H224),0)+$C58</f>
        <v>36.07603942527709</v>
      </c>
      <c r="H58" s="105">
        <f>-Analysis!$D218*H$50+Analysis!$F218*H$50^2/2+IF(H$50&gt;Analysis!$F224,Analysis!$G218*(H$50-Analysis!$F224),0)+IF(H$50&gt;Analysis!$H224,Analysis!$H218*(H$50-Analysis!$H224),0)+$C58</f>
        <v>27.152160203384774</v>
      </c>
      <c r="I58" s="105">
        <f>-Analysis!$D218*I$50+Analysis!$F218*I$50^2/2+IF(I$50&gt;Analysis!$F224,Analysis!$G218*(I$50-Analysis!$F224),0)+IF(I$50&gt;Analysis!$H224,Analysis!$H218*(I$50-Analysis!$H224),0)+$C58</f>
        <v>19.117497882534124</v>
      </c>
      <c r="J58" s="105">
        <f>-Analysis!$D218*J$50+Analysis!$F218*J$50^2/2+IF(J$50&gt;Analysis!$F224,Analysis!$G218*(J$50-Analysis!$F224),0)+IF(J$50&gt;Analysis!$H224,Analysis!$H218*(J$50-Analysis!$H224),0)+$C58</f>
        <v>11.97205246272513</v>
      </c>
      <c r="K58" s="105">
        <f>-Analysis!$D218*K$50+Analysis!$F218*K$50^2/2+IF(K$50&gt;Analysis!$F224,Analysis!$G218*(K$50-Analysis!$F224),0)+IF(K$50&gt;Analysis!$H224,Analysis!$H218*(K$50-Analysis!$H224),0)+$C58</f>
        <v>5.715823943957815</v>
      </c>
      <c r="L58" s="105">
        <f>-Analysis!$D218*L$50+Analysis!$F218*L$50^2/2+IF(L$50&gt;Analysis!$F224,Analysis!$G218*(L$50-Analysis!$F224),0)+IF(L$50&gt;Analysis!$H224,Analysis!$H218*(L$50-Analysis!$H224),0)+$C58</f>
        <v>0.3488123262321494</v>
      </c>
      <c r="M58" s="105">
        <f>-Analysis!$D218*M$50+Analysis!$F218*M$50^2/2+IF(M$50&gt;Analysis!$F224,Analysis!$G218*(M$50-Analysis!$F224),0)+IF(M$50&gt;Analysis!$H224,Analysis!$H218*(M$50-Analysis!$H224),0)+$C58</f>
        <v>-4.128982390451824</v>
      </c>
      <c r="N58" s="105">
        <f>-Analysis!$D218*N$50+Analysis!$F218*N$50^2/2+IF(N$50&gt;Analysis!$F224,Analysis!$G218*(N$50-Analysis!$F224),0)+IF(N$50&gt;Analysis!$H224,Analysis!$H218*(N$50-Analysis!$H224),0)+$C58</f>
        <v>-7.717560206094163</v>
      </c>
      <c r="O58" s="105">
        <f>-Analysis!$D218*O$50+Analysis!$F218*O$50^2/2+IF(O$50&gt;Analysis!$F224,Analysis!$G218*(O$50-Analysis!$F224),0)+IF(O$50&gt;Analysis!$H224,Analysis!$H218*(O$50-Analysis!$H224),0)+$C58</f>
        <v>-10.416921120694795</v>
      </c>
      <c r="P58" s="105">
        <f>-Analysis!$D218*P$50+Analysis!$F218*P$50^2/2+IF(P$50&gt;Analysis!$F224,Analysis!$G218*(P$50-Analysis!$F224),0)+IF(P$50&gt;Analysis!$H224,Analysis!$H218*(P$50-Analysis!$H224),0)+$C58</f>
        <v>-12.227065134253806</v>
      </c>
      <c r="Q58" s="105">
        <f>-Analysis!$D218*Q$50+Analysis!$F218*Q$50^2/2+IF(Q$50&gt;Analysis!$F224,Analysis!$G218*(Q$50-Analysis!$F224),0)+IF(Q$50&gt;Analysis!$H224,Analysis!$H218*(Q$50-Analysis!$H224),0)+$C58</f>
        <v>-13.14799224677111</v>
      </c>
      <c r="R58" s="105">
        <f>-Analysis!$D218*R$50+Analysis!$F218*R$50^2/2+IF(R$50&gt;Analysis!$F224,Analysis!$G218*(R$50-Analysis!$F224),0)+IF(R$50&gt;Analysis!$H224,Analysis!$H218*(R$50-Analysis!$H224),0)+$C58</f>
        <v>-13.17970245824678</v>
      </c>
      <c r="S58" s="105">
        <f>-Analysis!$D218*S$50+Analysis!$F218*S$50^2/2+IF(S$50&gt;Analysis!$F224,Analysis!$G218*(S$50-Analysis!$F224),0)+IF(S$50&gt;Analysis!$H224,Analysis!$H218*(S$50-Analysis!$H224),0)+$C58</f>
        <v>-12.322195768680757</v>
      </c>
      <c r="T58" s="105">
        <f>-Analysis!$D218*T$50+Analysis!$F218*T$50^2/2+IF(T$50&gt;Analysis!$F224,Analysis!$G218*(T$50-Analysis!$F224),0)+IF(T$50&gt;Analysis!$H224,Analysis!$H218*(T$50-Analysis!$H224),0)+$C58</f>
        <v>-10.575472178073056</v>
      </c>
      <c r="U58" s="105">
        <f>-Analysis!$D218*U$50+Analysis!$F218*U$50^2/2+IF(U$50&gt;Analysis!$F224,Analysis!$G218*(U$50-Analysis!$F224),0)+IF(U$50&gt;Analysis!$H224,Analysis!$H218*(U$50-Analysis!$H224),0)+$C58</f>
        <v>-7.93953168642372</v>
      </c>
      <c r="V58" s="105">
        <f>-Analysis!$D218*V$50+Analysis!$F218*V$50^2/2+IF(V$50&gt;Analysis!$F224,Analysis!$G218*(V$50-Analysis!$F224),0)+IF(V$50&gt;Analysis!$H224,Analysis!$H218*(V$50-Analysis!$H224),0)+$C58</f>
        <v>-4.414374293732692</v>
      </c>
      <c r="W58" s="105">
        <f>Analysis!J230</f>
        <v>0</v>
      </c>
      <c r="X58" s="105">
        <f>-Analysis!$D218*X$50+Analysis!$F218*X$50^2/2+IF(X$50&gt;Analysis!$F224,Analysis!$G218*(X$50-Analysis!$F224),0)+IF(X$50&gt;Analysis!$H224,Analysis!$H218*(X$50-Analysis!$H224),0)+$C58</f>
        <v>46.5749585573326</v>
      </c>
      <c r="Y58" s="105">
        <f>-Analysis!$D218*Y$50+Analysis!$F218*Y$50^2/2+IF(Y$50&gt;Analysis!$F224,Analysis!$G218*(Y$50-Analysis!$F224),0)+IF(Y$50&gt;Analysis!$H224,Analysis!$H218*(Y$50-Analysis!$H224),0)+$C58</f>
        <v>-5.190543124354235</v>
      </c>
      <c r="AL58" s="697"/>
    </row>
    <row r="59" spans="1:38" ht="15.75">
      <c r="A59" s="375"/>
      <c r="B59" s="111" t="s">
        <v>308</v>
      </c>
      <c r="C59" s="116">
        <f aca="true" t="shared" si="11" ref="C59:Y59">0.7*MAX(C52:C54)</f>
        <v>68.55619233099857</v>
      </c>
      <c r="D59" s="116">
        <f t="shared" si="11"/>
        <v>50.86477336575072</v>
      </c>
      <c r="E59" s="116">
        <f t="shared" si="11"/>
        <v>34.67478696352371</v>
      </c>
      <c r="F59" s="116">
        <f t="shared" si="11"/>
        <v>25.862188374964084</v>
      </c>
      <c r="G59" s="116">
        <f t="shared" si="11"/>
        <v>19.36126853060345</v>
      </c>
      <c r="H59" s="116">
        <f t="shared" si="11"/>
        <v>13.482800516971988</v>
      </c>
      <c r="I59" s="116">
        <f t="shared" si="11"/>
        <v>8.22678433406969</v>
      </c>
      <c r="J59" s="116">
        <f t="shared" si="11"/>
        <v>3.5932199818965556</v>
      </c>
      <c r="K59" s="116">
        <f t="shared" si="11"/>
        <v>-0.41789253954740385</v>
      </c>
      <c r="L59" s="116">
        <f t="shared" si="11"/>
        <v>-3.8065532302621987</v>
      </c>
      <c r="M59" s="116">
        <f t="shared" si="11"/>
        <v>-6.572762090247829</v>
      </c>
      <c r="N59" s="116">
        <f t="shared" si="11"/>
        <v>-8.716519119504314</v>
      </c>
      <c r="O59" s="116">
        <f t="shared" si="11"/>
        <v>-10.237824318031606</v>
      </c>
      <c r="P59" s="116">
        <f t="shared" si="11"/>
        <v>-11.136677685829742</v>
      </c>
      <c r="Q59" s="116">
        <f t="shared" si="11"/>
        <v>-11.413079222898704</v>
      </c>
      <c r="R59" s="116">
        <f t="shared" si="11"/>
        <v>-11.067028929238502</v>
      </c>
      <c r="S59" s="116">
        <f t="shared" si="11"/>
        <v>-10.098526804849135</v>
      </c>
      <c r="T59" s="116">
        <f t="shared" si="11"/>
        <v>-8.507572849730593</v>
      </c>
      <c r="U59" s="116">
        <f t="shared" si="11"/>
        <v>-6.294167063882886</v>
      </c>
      <c r="V59" s="116">
        <f t="shared" si="11"/>
        <v>-3.4583094473060156</v>
      </c>
      <c r="W59" s="116">
        <f t="shared" si="11"/>
        <v>0</v>
      </c>
      <c r="X59" s="116">
        <f t="shared" si="11"/>
        <v>26.31771465190294</v>
      </c>
      <c r="Y59" s="116">
        <f t="shared" si="11"/>
        <v>-4.07527711707971</v>
      </c>
      <c r="AL59" s="697"/>
    </row>
    <row r="60" spans="1:38" ht="15.75">
      <c r="A60" s="375"/>
      <c r="B60" s="113" t="s">
        <v>309</v>
      </c>
      <c r="C60" s="116">
        <f aca="true" t="shared" si="12" ref="C60:Y60">0.7*MIN(C52:C54)</f>
        <v>48.602084118354895</v>
      </c>
      <c r="D60" s="116">
        <f t="shared" si="12"/>
        <v>31.908370563739236</v>
      </c>
      <c r="E60" s="116">
        <f t="shared" si="12"/>
        <v>16.716089572144412</v>
      </c>
      <c r="F60" s="116">
        <f t="shared" si="12"/>
        <v>3.025241143570416</v>
      </c>
      <c r="G60" s="116">
        <f t="shared" si="12"/>
        <v>-9.164174721982743</v>
      </c>
      <c r="H60" s="116">
        <f t="shared" si="12"/>
        <v>-19.852158024515063</v>
      </c>
      <c r="I60" s="116">
        <f t="shared" si="12"/>
        <v>-29.03870876402656</v>
      </c>
      <c r="J60" s="116">
        <f t="shared" si="12"/>
        <v>-36.72382694051722</v>
      </c>
      <c r="K60" s="116">
        <f t="shared" si="12"/>
        <v>-42.907512553987054</v>
      </c>
      <c r="L60" s="116">
        <f t="shared" si="12"/>
        <v>-47.58976560443605</v>
      </c>
      <c r="M60" s="116">
        <f t="shared" si="12"/>
        <v>-50.7705860918642</v>
      </c>
      <c r="N60" s="116">
        <f t="shared" si="12"/>
        <v>-52.44997401627152</v>
      </c>
      <c r="O60" s="116">
        <f t="shared" si="12"/>
        <v>-52.62792937765802</v>
      </c>
      <c r="P60" s="116">
        <f t="shared" si="12"/>
        <v>-51.3044521760237</v>
      </c>
      <c r="Q60" s="116">
        <f t="shared" si="12"/>
        <v>-48.479542411368506</v>
      </c>
      <c r="R60" s="116">
        <f t="shared" si="12"/>
        <v>-44.15320008369248</v>
      </c>
      <c r="S60" s="116">
        <f t="shared" si="12"/>
        <v>-38.32542519299567</v>
      </c>
      <c r="T60" s="116">
        <f t="shared" si="12"/>
        <v>-30.99621773927802</v>
      </c>
      <c r="U60" s="116">
        <f t="shared" si="12"/>
        <v>-22.165577722539503</v>
      </c>
      <c r="V60" s="116">
        <f t="shared" si="12"/>
        <v>-11.833505142780117</v>
      </c>
      <c r="W60" s="116">
        <f t="shared" si="12"/>
        <v>0</v>
      </c>
      <c r="X60" s="116">
        <f t="shared" si="12"/>
        <v>3.89125313684804</v>
      </c>
      <c r="Y60" s="116">
        <f t="shared" si="12"/>
        <v>-14.020034263773672</v>
      </c>
      <c r="AL60" s="697"/>
    </row>
    <row r="61" spans="1:38" ht="15.75">
      <c r="A61" s="375"/>
      <c r="B61" s="113" t="s">
        <v>310</v>
      </c>
      <c r="C61" s="114">
        <f aca="true" t="shared" si="13" ref="C61:W61">MIN(C56:C60,0)</f>
        <v>0</v>
      </c>
      <c r="D61" s="114">
        <f t="shared" si="13"/>
        <v>0</v>
      </c>
      <c r="E61" s="114">
        <f t="shared" si="13"/>
        <v>0</v>
      </c>
      <c r="F61" s="114">
        <f t="shared" si="13"/>
        <v>0</v>
      </c>
      <c r="G61" s="114">
        <f t="shared" si="13"/>
        <v>-9.164174721982743</v>
      </c>
      <c r="H61" s="114">
        <f t="shared" si="13"/>
        <v>-20.54917651600023</v>
      </c>
      <c r="I61" s="114">
        <f t="shared" si="13"/>
        <v>-34.193557045141915</v>
      </c>
      <c r="J61" s="114">
        <f t="shared" si="13"/>
        <v>-45.69303391282523</v>
      </c>
      <c r="K61" s="114">
        <f t="shared" si="13"/>
        <v>-55.04760711905023</v>
      </c>
      <c r="L61" s="114">
        <f t="shared" si="13"/>
        <v>-62.25727666381688</v>
      </c>
      <c r="M61" s="114">
        <f t="shared" si="13"/>
        <v>-67.32204254712518</v>
      </c>
      <c r="N61" s="114">
        <f t="shared" si="13"/>
        <v>-70.2419047689752</v>
      </c>
      <c r="O61" s="114">
        <f t="shared" si="13"/>
        <v>-71.01686332936687</v>
      </c>
      <c r="P61" s="114">
        <f t="shared" si="13"/>
        <v>-69.64691822830015</v>
      </c>
      <c r="Q61" s="114">
        <f t="shared" si="13"/>
        <v>-66.13206946577516</v>
      </c>
      <c r="R61" s="114">
        <f t="shared" si="13"/>
        <v>-60.47231704179178</v>
      </c>
      <c r="S61" s="114">
        <f t="shared" si="13"/>
        <v>-52.66766095635013</v>
      </c>
      <c r="T61" s="114">
        <f t="shared" si="13"/>
        <v>-42.718101209450154</v>
      </c>
      <c r="U61" s="114">
        <f t="shared" si="13"/>
        <v>-30.62363780109179</v>
      </c>
      <c r="V61" s="114">
        <f t="shared" si="13"/>
        <v>-16.384270731275095</v>
      </c>
      <c r="W61" s="114">
        <f t="shared" si="13"/>
        <v>0</v>
      </c>
      <c r="X61" s="114"/>
      <c r="Y61" s="114"/>
      <c r="AL61" s="697"/>
    </row>
    <row r="62" spans="1:38" ht="15.75">
      <c r="A62" s="375"/>
      <c r="B62" s="107" t="s">
        <v>311</v>
      </c>
      <c r="C62" s="114">
        <f aca="true" t="shared" si="14" ref="C62:Y62">MAX(C56:C60,0)</f>
        <v>83.24680497335541</v>
      </c>
      <c r="D62" s="114">
        <f t="shared" si="14"/>
        <v>68.18297849720405</v>
      </c>
      <c r="E62" s="114">
        <f t="shared" si="14"/>
        <v>56.591448572186735</v>
      </c>
      <c r="F62" s="114">
        <f t="shared" si="14"/>
        <v>45.88913554821108</v>
      </c>
      <c r="G62" s="114">
        <f t="shared" si="14"/>
        <v>36.07603942527709</v>
      </c>
      <c r="H62" s="115">
        <f t="shared" si="14"/>
        <v>27.152160203384774</v>
      </c>
      <c r="I62" s="114">
        <f t="shared" si="14"/>
        <v>19.117497882534124</v>
      </c>
      <c r="J62" s="114">
        <f t="shared" si="14"/>
        <v>11.97205246272513</v>
      </c>
      <c r="K62" s="114">
        <f t="shared" si="14"/>
        <v>5.715823943957815</v>
      </c>
      <c r="L62" s="114">
        <f t="shared" si="14"/>
        <v>0.3488123262321494</v>
      </c>
      <c r="M62" s="114">
        <f t="shared" si="14"/>
        <v>0</v>
      </c>
      <c r="N62" s="114">
        <f t="shared" si="14"/>
        <v>0</v>
      </c>
      <c r="O62" s="114">
        <f t="shared" si="14"/>
        <v>0</v>
      </c>
      <c r="P62" s="114">
        <f t="shared" si="14"/>
        <v>0</v>
      </c>
      <c r="Q62" s="114">
        <f t="shared" si="14"/>
        <v>0</v>
      </c>
      <c r="R62" s="115">
        <f t="shared" si="14"/>
        <v>0</v>
      </c>
      <c r="S62" s="114">
        <f t="shared" si="14"/>
        <v>0</v>
      </c>
      <c r="T62" s="114">
        <f t="shared" si="14"/>
        <v>0</v>
      </c>
      <c r="U62" s="114">
        <f t="shared" si="14"/>
        <v>0</v>
      </c>
      <c r="V62" s="114">
        <f t="shared" si="14"/>
        <v>0</v>
      </c>
      <c r="W62" s="114">
        <f t="shared" si="14"/>
        <v>0</v>
      </c>
      <c r="X62" s="114">
        <f t="shared" si="14"/>
        <v>46.5749585573326</v>
      </c>
      <c r="Y62" s="114">
        <f t="shared" si="14"/>
        <v>0</v>
      </c>
      <c r="AL62" s="697"/>
    </row>
    <row r="63" spans="1:38" ht="15.75">
      <c r="A63" s="375"/>
      <c r="B63" s="107" t="s">
        <v>304</v>
      </c>
      <c r="C63" s="104">
        <v>0</v>
      </c>
      <c r="D63" s="104">
        <v>0</v>
      </c>
      <c r="E63" s="104">
        <v>0</v>
      </c>
      <c r="F63" s="104">
        <v>0</v>
      </c>
      <c r="G63" s="104">
        <v>0</v>
      </c>
      <c r="H63" s="104">
        <v>0</v>
      </c>
      <c r="I63" s="104">
        <v>0</v>
      </c>
      <c r="J63" s="104">
        <v>0</v>
      </c>
      <c r="K63" s="104">
        <v>0</v>
      </c>
      <c r="L63" s="104">
        <v>0</v>
      </c>
      <c r="M63" s="104">
        <v>0</v>
      </c>
      <c r="N63" s="104">
        <v>0</v>
      </c>
      <c r="O63" s="104">
        <v>0</v>
      </c>
      <c r="P63" s="104">
        <v>0</v>
      </c>
      <c r="Q63" s="104">
        <v>0</v>
      </c>
      <c r="R63" s="104">
        <v>0</v>
      </c>
      <c r="S63" s="104">
        <v>0</v>
      </c>
      <c r="T63" s="104">
        <v>0</v>
      </c>
      <c r="U63" s="104">
        <v>0</v>
      </c>
      <c r="V63" s="104">
        <v>0</v>
      </c>
      <c r="W63" s="104">
        <v>0</v>
      </c>
      <c r="X63" s="38"/>
      <c r="Y63" s="38"/>
      <c r="AL63" s="697"/>
    </row>
    <row r="64" spans="1:38" ht="15.75">
      <c r="A64" s="375"/>
      <c r="B64" s="770" t="s">
        <v>51</v>
      </c>
      <c r="C64" s="38"/>
      <c r="D64" s="38"/>
      <c r="E64" s="38"/>
      <c r="F64" s="38"/>
      <c r="G64" s="38"/>
      <c r="H64" s="38"/>
      <c r="I64" s="38"/>
      <c r="J64" s="38"/>
      <c r="K64" s="38"/>
      <c r="L64" s="38"/>
      <c r="M64" s="38"/>
      <c r="N64" s="38"/>
      <c r="O64" s="38"/>
      <c r="P64" s="38"/>
      <c r="Q64" s="38"/>
      <c r="R64" s="38"/>
      <c r="S64" s="38"/>
      <c r="T64" s="38"/>
      <c r="U64" s="38"/>
      <c r="V64" s="38"/>
      <c r="W64" s="38"/>
      <c r="X64" s="38"/>
      <c r="Y64" s="38"/>
      <c r="AL64" s="697"/>
    </row>
    <row r="65" spans="1:38" ht="15.75">
      <c r="A65" s="375"/>
      <c r="B65" s="102" t="s">
        <v>312</v>
      </c>
      <c r="C65" s="86">
        <v>0</v>
      </c>
      <c r="D65" s="86">
        <f aca="true" t="shared" si="15" ref="D65:W65">D66-$C66</f>
        <v>0</v>
      </c>
      <c r="E65" s="86">
        <f t="shared" si="15"/>
        <v>0</v>
      </c>
      <c r="F65" s="86">
        <f t="shared" si="15"/>
        <v>0</v>
      </c>
      <c r="G65" s="86">
        <f t="shared" si="15"/>
        <v>0</v>
      </c>
      <c r="H65" s="86">
        <f t="shared" si="15"/>
        <v>0</v>
      </c>
      <c r="I65" s="86">
        <f t="shared" si="15"/>
        <v>0</v>
      </c>
      <c r="J65" s="86">
        <f t="shared" si="15"/>
        <v>0</v>
      </c>
      <c r="K65" s="86">
        <f t="shared" si="15"/>
        <v>0</v>
      </c>
      <c r="L65" s="86">
        <f t="shared" si="15"/>
        <v>0</v>
      </c>
      <c r="M65" s="86">
        <f t="shared" si="15"/>
        <v>0</v>
      </c>
      <c r="N65" s="86">
        <f t="shared" si="15"/>
        <v>0</v>
      </c>
      <c r="O65" s="86">
        <f t="shared" si="15"/>
        <v>0</v>
      </c>
      <c r="P65" s="86">
        <f t="shared" si="15"/>
        <v>0</v>
      </c>
      <c r="Q65" s="86">
        <f t="shared" si="15"/>
        <v>0</v>
      </c>
      <c r="R65" s="86">
        <f t="shared" si="15"/>
        <v>0</v>
      </c>
      <c r="S65" s="86">
        <f t="shared" si="15"/>
        <v>0</v>
      </c>
      <c r="T65" s="86">
        <f t="shared" si="15"/>
        <v>0</v>
      </c>
      <c r="U65" s="86">
        <f t="shared" si="15"/>
        <v>0</v>
      </c>
      <c r="V65" s="86">
        <f t="shared" si="15"/>
        <v>0</v>
      </c>
      <c r="W65" s="86">
        <f t="shared" si="15"/>
        <v>0</v>
      </c>
      <c r="X65" s="110">
        <f>MAIN!E21/1000</f>
        <v>0</v>
      </c>
      <c r="Y65" s="110">
        <f>W65-MAIN!F21/1000</f>
        <v>0</v>
      </c>
      <c r="AL65" s="697"/>
    </row>
    <row r="66" spans="1:38" ht="15.75">
      <c r="A66" s="375"/>
      <c r="B66" s="106" t="s">
        <v>298</v>
      </c>
      <c r="C66" s="86">
        <f>W51</f>
        <v>16.499999999999996</v>
      </c>
      <c r="D66" s="86">
        <f>C66+MAIN!$C$21/20</f>
        <v>16.499999999999996</v>
      </c>
      <c r="E66" s="86">
        <f>D66+MAIN!$C$21/20</f>
        <v>16.499999999999996</v>
      </c>
      <c r="F66" s="86">
        <f>E66+MAIN!$C$21/20</f>
        <v>16.499999999999996</v>
      </c>
      <c r="G66" s="86">
        <f>F66+MAIN!$C$21/20</f>
        <v>16.499999999999996</v>
      </c>
      <c r="H66" s="86">
        <f>G66+MAIN!$C$21/20</f>
        <v>16.499999999999996</v>
      </c>
      <c r="I66" s="86">
        <f>H66+MAIN!$C$21/20</f>
        <v>16.499999999999996</v>
      </c>
      <c r="J66" s="86">
        <f>I66+MAIN!$C$21/20</f>
        <v>16.499999999999996</v>
      </c>
      <c r="K66" s="86">
        <f>J66+MAIN!$C$21/20</f>
        <v>16.499999999999996</v>
      </c>
      <c r="L66" s="86">
        <f>K66+MAIN!$C$21/20</f>
        <v>16.499999999999996</v>
      </c>
      <c r="M66" s="86">
        <f>L66+MAIN!$C$21/20</f>
        <v>16.499999999999996</v>
      </c>
      <c r="N66" s="86">
        <f>M66+MAIN!$C$21/20</f>
        <v>16.499999999999996</v>
      </c>
      <c r="O66" s="86">
        <f>N66+MAIN!$C$21/20</f>
        <v>16.499999999999996</v>
      </c>
      <c r="P66" s="86">
        <f>O66+MAIN!$C$21/20</f>
        <v>16.499999999999996</v>
      </c>
      <c r="Q66" s="86">
        <f>P66+MAIN!$C$21/20</f>
        <v>16.499999999999996</v>
      </c>
      <c r="R66" s="86">
        <f>Q66+MAIN!$C$21/20</f>
        <v>16.499999999999996</v>
      </c>
      <c r="S66" s="86">
        <f>R66+MAIN!$C$21/20</f>
        <v>16.499999999999996</v>
      </c>
      <c r="T66" s="86">
        <f>S66+MAIN!$C$21/20</f>
        <v>16.499999999999996</v>
      </c>
      <c r="U66" s="86">
        <f>T66+MAIN!$C$21/20</f>
        <v>16.499999999999996</v>
      </c>
      <c r="V66" s="86">
        <f>U66+MAIN!$C$21/20</f>
        <v>16.499999999999996</v>
      </c>
      <c r="W66" s="86">
        <f>V66+MAIN!$C$21/20</f>
        <v>16.499999999999996</v>
      </c>
      <c r="X66" s="86"/>
      <c r="Y66" s="86"/>
      <c r="AL66" s="697"/>
    </row>
    <row r="67" spans="1:38" ht="15.75">
      <c r="A67" s="375"/>
      <c r="B67" s="106" t="s">
        <v>301</v>
      </c>
      <c r="C67" s="103">
        <f>Analysis!F106</f>
        <v>0</v>
      </c>
      <c r="D67" s="103">
        <f>-Analysis!$D233*D$65+Analysis!$F236*D$65^2/2+IF(D$65&gt;Analysis!$F239,Analysis!$G236*(D$65-Analysis!$F239),0)+IF(D$65&gt;Analysis!$H239,Analysis!$H236*(D$65-Analysis!$H239),0)+$C67</f>
        <v>0</v>
      </c>
      <c r="E67" s="103">
        <f>-Analysis!$D233*E$65+Analysis!$F236*E$65^2/2+IF(E$65&gt;Analysis!$F239,Analysis!$G236*(E$65-Analysis!$F239),0)+IF(E$65&gt;Analysis!$H239,Analysis!$H236*(E$65-Analysis!$H239),0)+$C67</f>
        <v>0</v>
      </c>
      <c r="F67" s="103">
        <f>-Analysis!$D233*F$65+Analysis!$F236*F$65^2/2+IF(F$65&gt;Analysis!$F239,Analysis!$G236*(F$65-Analysis!$F239),0)+IF(F$65&gt;Analysis!$H239,Analysis!$H236*(F$65-Analysis!$H239),0)+$C67</f>
        <v>0</v>
      </c>
      <c r="G67" s="103">
        <f>-Analysis!$D233*G$65+Analysis!$F236*G$65^2/2+IF(G$65&gt;Analysis!$F239,Analysis!$G236*(G$65-Analysis!$F239),0)+IF(G$65&gt;Analysis!$H239,Analysis!$H236*(G$65-Analysis!$H239),0)+$C67</f>
        <v>0</v>
      </c>
      <c r="H67" s="103">
        <f>-Analysis!$D233*H$65+Analysis!$F236*H$65^2/2+IF(H$65&gt;Analysis!$F239,Analysis!$G236*(H$65-Analysis!$F239),0)+IF(H$65&gt;Analysis!$H239,Analysis!$H236*(H$65-Analysis!$H239),0)+$C67</f>
        <v>0</v>
      </c>
      <c r="I67" s="103">
        <f>-Analysis!$D233*I$65+Analysis!$F236*I$65^2/2+IF(I$65&gt;Analysis!$F239,Analysis!$G236*(I$65-Analysis!$F239),0)+IF(I$65&gt;Analysis!$H239,Analysis!$H236*(I$65-Analysis!$H239),0)+$C67</f>
        <v>0</v>
      </c>
      <c r="J67" s="103">
        <f>-Analysis!$D233*J$65+Analysis!$F236*J$65^2/2+IF(J$65&gt;Analysis!$F239,Analysis!$G236*(J$65-Analysis!$F239),0)+IF(J$65&gt;Analysis!$H239,Analysis!$H236*(J$65-Analysis!$H239),0)+$C67</f>
        <v>0</v>
      </c>
      <c r="K67" s="103">
        <f>-Analysis!$D233*K$65+Analysis!$F236*K$65^2/2+IF(K$65&gt;Analysis!$F239,Analysis!$G236*(K$65-Analysis!$F239),0)+IF(K$65&gt;Analysis!$H239,Analysis!$H236*(K$65-Analysis!$H239),0)+$C67</f>
        <v>0</v>
      </c>
      <c r="L67" s="103">
        <f>-Analysis!$D233*L$65+Analysis!$F236*L$65^2/2+IF(L$65&gt;Analysis!$F239,Analysis!$G236*(L$65-Analysis!$F239),0)+IF(L$65&gt;Analysis!$H239,Analysis!$H236*(L$65-Analysis!$H239),0)+$C67</f>
        <v>0</v>
      </c>
      <c r="M67" s="103">
        <f>-Analysis!$D233*M$65+Analysis!$F236*M$65^2/2+IF(M$65&gt;Analysis!$F239,Analysis!$G236*(M$65-Analysis!$F239),0)+IF(M$65&gt;Analysis!$H239,Analysis!$H236*(M$65-Analysis!$H239),0)+$C67</f>
        <v>0</v>
      </c>
      <c r="N67" s="103">
        <f>-Analysis!$D233*N$65+Analysis!$F236*N$65^2/2+IF(N$65&gt;Analysis!$F239,Analysis!$G236*(N$65-Analysis!$F239),0)+IF(N$65&gt;Analysis!$H239,Analysis!$H236*(N$65-Analysis!$H239),0)+$C67</f>
        <v>0</v>
      </c>
      <c r="O67" s="103">
        <f>-Analysis!$D233*O$65+Analysis!$F236*O$65^2/2+IF(O$65&gt;Analysis!$F239,Analysis!$G236*(O$65-Analysis!$F239),0)+IF(O$65&gt;Analysis!$H239,Analysis!$H236*(O$65-Analysis!$H239),0)+$C67</f>
        <v>0</v>
      </c>
      <c r="P67" s="103">
        <f>-Analysis!$D233*P$65+Analysis!$F236*P$65^2/2+IF(P$65&gt;Analysis!$F239,Analysis!$G236*(P$65-Analysis!$F239),0)+IF(P$65&gt;Analysis!$H239,Analysis!$H236*(P$65-Analysis!$H239),0)+$C67</f>
        <v>0</v>
      </c>
      <c r="Q67" s="103">
        <f>-Analysis!$D233*Q$65+Analysis!$F236*Q$65^2/2+IF(Q$65&gt;Analysis!$F239,Analysis!$G236*(Q$65-Analysis!$F239),0)+IF(Q$65&gt;Analysis!$H239,Analysis!$H236*(Q$65-Analysis!$H239),0)+$C67</f>
        <v>0</v>
      </c>
      <c r="R67" s="103">
        <f>-Analysis!$D233*R$65+Analysis!$F236*R$65^2/2+IF(R$65&gt;Analysis!$F239,Analysis!$G236*(R$65-Analysis!$F239),0)+IF(R$65&gt;Analysis!$H239,Analysis!$H236*(R$65-Analysis!$H239),0)+$C67</f>
        <v>0</v>
      </c>
      <c r="S67" s="103">
        <f>-Analysis!$D233*S$65+Analysis!$F236*S$65^2/2+IF(S$65&gt;Analysis!$F239,Analysis!$G236*(S$65-Analysis!$F239),0)+IF(S$65&gt;Analysis!$H239,Analysis!$H236*(S$65-Analysis!$H239),0)+$C67</f>
        <v>0</v>
      </c>
      <c r="T67" s="103">
        <f>-Analysis!$D233*T$65+Analysis!$F236*T$65^2/2+IF(T$65&gt;Analysis!$F239,Analysis!$G236*(T$65-Analysis!$F239),0)+IF(T$65&gt;Analysis!$H239,Analysis!$H236*(T$65-Analysis!$H239),0)+$C67</f>
        <v>0</v>
      </c>
      <c r="U67" s="103">
        <f>-Analysis!$D233*U$65+Analysis!$F236*U$65^2/2+IF(U$65&gt;Analysis!$F239,Analysis!$G236*(U$65-Analysis!$F239),0)+IF(U$65&gt;Analysis!$H239,Analysis!$H236*(U$65-Analysis!$H239),0)+$C67</f>
        <v>0</v>
      </c>
      <c r="V67" s="103">
        <f>-Analysis!$D233*V$65+Analysis!$F236*V$65^2/2+IF(V$65&gt;Analysis!$F239,Analysis!$G236*(V$65-Analysis!$F239),0)+IF(V$65&gt;Analysis!$H239,Analysis!$H236*(V$65-Analysis!$H239),0)+$C67</f>
        <v>0</v>
      </c>
      <c r="W67" s="103">
        <f>Analysis!G106</f>
        <v>0</v>
      </c>
      <c r="X67" s="103">
        <f>-Analysis!$D233*X$65+Analysis!$F236*X$65^2/2+IF(X$65&gt;Analysis!$F239,Analysis!$G236*(X$65-Analysis!$F239),0)+IF(X$65&gt;Analysis!$H239,Analysis!$H236*(X$65-Analysis!$H239),0)+$C67</f>
        <v>0</v>
      </c>
      <c r="Y67" s="103">
        <f>-Analysis!$D233*Y$65+Analysis!$F236*Y$65^2/2+IF(Y$65&gt;Analysis!$F239,Analysis!$G236*(Y$65-Analysis!$F239),0)+IF(Y$65&gt;Analysis!$H239,Analysis!$H236*(Y$65-Analysis!$H239),0)+$C67</f>
        <v>0</v>
      </c>
      <c r="AL67" s="697"/>
    </row>
    <row r="68" spans="1:38" ht="15.75">
      <c r="A68" s="375"/>
      <c r="B68" s="106" t="s">
        <v>302</v>
      </c>
      <c r="C68" s="103">
        <f>Analysis!F107</f>
        <v>0</v>
      </c>
      <c r="D68" s="103">
        <f>-Analysis!$D234*D$65+Analysis!$F237*D$65^2/2+IF(D$65&gt;Analysis!$F240,Analysis!$G237*(D$65-Analysis!$F240),0)+IF(D$65&gt;Analysis!$H240,Analysis!$H237*(D$65-Analysis!$H240),0)+$C68</f>
        <v>0</v>
      </c>
      <c r="E68" s="103">
        <f>-Analysis!$D234*E$65+Analysis!$F237*E$65^2/2+IF(E$65&gt;Analysis!$F240,Analysis!$G237*(E$65-Analysis!$F240),0)+IF(E$65&gt;Analysis!$H240,Analysis!$H237*(E$65-Analysis!$H240),0)+$C68</f>
        <v>0</v>
      </c>
      <c r="F68" s="103">
        <f>-Analysis!$D234*F$65+Analysis!$F237*F$65^2/2+IF(F$65&gt;Analysis!$F240,Analysis!$G237*(F$65-Analysis!$F240),0)+IF(F$65&gt;Analysis!$H240,Analysis!$H237*(F$65-Analysis!$H240),0)+$C68</f>
        <v>0</v>
      </c>
      <c r="G68" s="103">
        <f>-Analysis!$D234*G$65+Analysis!$F237*G$65^2/2+IF(G$65&gt;Analysis!$F240,Analysis!$G237*(G$65-Analysis!$F240),0)+IF(G$65&gt;Analysis!$H240,Analysis!$H237*(G$65-Analysis!$H240),0)+$C68</f>
        <v>0</v>
      </c>
      <c r="H68" s="103">
        <f>-Analysis!$D234*H$65+Analysis!$F237*H$65^2/2+IF(H$65&gt;Analysis!$F240,Analysis!$G237*(H$65-Analysis!$F240),0)+IF(H$65&gt;Analysis!$H240,Analysis!$H237*(H$65-Analysis!$H240),0)+$C68</f>
        <v>0</v>
      </c>
      <c r="I68" s="103">
        <f>-Analysis!$D234*I$65+Analysis!$F237*I$65^2/2+IF(I$65&gt;Analysis!$F240,Analysis!$G237*(I$65-Analysis!$F240),0)+IF(I$65&gt;Analysis!$H240,Analysis!$H237*(I$65-Analysis!$H240),0)+$C68</f>
        <v>0</v>
      </c>
      <c r="J68" s="103">
        <f>-Analysis!$D234*J$65+Analysis!$F237*J$65^2/2+IF(J$65&gt;Analysis!$F240,Analysis!$G237*(J$65-Analysis!$F240),0)+IF(J$65&gt;Analysis!$H240,Analysis!$H237*(J$65-Analysis!$H240),0)+$C68</f>
        <v>0</v>
      </c>
      <c r="K68" s="103">
        <f>-Analysis!$D234*K$65+Analysis!$F237*K$65^2/2+IF(K$65&gt;Analysis!$F240,Analysis!$G237*(K$65-Analysis!$F240),0)+IF(K$65&gt;Analysis!$H240,Analysis!$H237*(K$65-Analysis!$H240),0)+$C68</f>
        <v>0</v>
      </c>
      <c r="L68" s="103">
        <f>-Analysis!$D234*L$65+Analysis!$F237*L$65^2/2+IF(L$65&gt;Analysis!$F240,Analysis!$G237*(L$65-Analysis!$F240),0)+IF(L$65&gt;Analysis!$H240,Analysis!$H237*(L$65-Analysis!$H240),0)+$C68</f>
        <v>0</v>
      </c>
      <c r="M68" s="103">
        <f>-Analysis!$D234*M$65+Analysis!$F237*M$65^2/2+IF(M$65&gt;Analysis!$F240,Analysis!$G237*(M$65-Analysis!$F240),0)+IF(M$65&gt;Analysis!$H240,Analysis!$H237*(M$65-Analysis!$H240),0)+$C68</f>
        <v>0</v>
      </c>
      <c r="N68" s="103">
        <f>-Analysis!$D234*N$65+Analysis!$F237*N$65^2/2+IF(N$65&gt;Analysis!$F240,Analysis!$G237*(N$65-Analysis!$F240),0)+IF(N$65&gt;Analysis!$H240,Analysis!$H237*(N$65-Analysis!$H240),0)+$C68</f>
        <v>0</v>
      </c>
      <c r="O68" s="103">
        <f>-Analysis!$D234*O$65+Analysis!$F237*O$65^2/2+IF(O$65&gt;Analysis!$F240,Analysis!$G237*(O$65-Analysis!$F240),0)+IF(O$65&gt;Analysis!$H240,Analysis!$H237*(O$65-Analysis!$H240),0)+$C68</f>
        <v>0</v>
      </c>
      <c r="P68" s="103">
        <f>-Analysis!$D234*P$65+Analysis!$F237*P$65^2/2+IF(P$65&gt;Analysis!$F240,Analysis!$G237*(P$65-Analysis!$F240),0)+IF(P$65&gt;Analysis!$H240,Analysis!$H237*(P$65-Analysis!$H240),0)+$C68</f>
        <v>0</v>
      </c>
      <c r="Q68" s="103">
        <f>-Analysis!$D234*Q$65+Analysis!$F237*Q$65^2/2+IF(Q$65&gt;Analysis!$F240,Analysis!$G237*(Q$65-Analysis!$F240),0)+IF(Q$65&gt;Analysis!$H240,Analysis!$H237*(Q$65-Analysis!$H240),0)+$C68</f>
        <v>0</v>
      </c>
      <c r="R68" s="103">
        <f>-Analysis!$D234*R$65+Analysis!$F237*R$65^2/2+IF(R$65&gt;Analysis!$F240,Analysis!$G237*(R$65-Analysis!$F240),0)+IF(R$65&gt;Analysis!$H240,Analysis!$H237*(R$65-Analysis!$H240),0)+$C68</f>
        <v>0</v>
      </c>
      <c r="S68" s="103">
        <f>-Analysis!$D234*S$65+Analysis!$F237*S$65^2/2+IF(S$65&gt;Analysis!$F240,Analysis!$G237*(S$65-Analysis!$F240),0)+IF(S$65&gt;Analysis!$H240,Analysis!$H237*(S$65-Analysis!$H240),0)+$C68</f>
        <v>0</v>
      </c>
      <c r="T68" s="103">
        <f>-Analysis!$D234*T$65+Analysis!$F237*T$65^2/2+IF(T$65&gt;Analysis!$F240,Analysis!$G237*(T$65-Analysis!$F240),0)+IF(T$65&gt;Analysis!$H240,Analysis!$H237*(T$65-Analysis!$H240),0)+$C68</f>
        <v>0</v>
      </c>
      <c r="U68" s="103">
        <f>-Analysis!$D234*U$65+Analysis!$F237*U$65^2/2+IF(U$65&gt;Analysis!$F240,Analysis!$G237*(U$65-Analysis!$F240),0)+IF(U$65&gt;Analysis!$H240,Analysis!$H237*(U$65-Analysis!$H240),0)+$C68</f>
        <v>0</v>
      </c>
      <c r="V68" s="103">
        <f>-Analysis!$D234*V$65+Analysis!$F237*V$65^2/2+IF(V$65&gt;Analysis!$F240,Analysis!$G237*(V$65-Analysis!$F240),0)+IF(V$65&gt;Analysis!$H240,Analysis!$H237*(V$65-Analysis!$H240),0)+$C68</f>
        <v>0</v>
      </c>
      <c r="W68" s="103">
        <f>Analysis!G107</f>
        <v>0</v>
      </c>
      <c r="X68" s="103">
        <f>-Analysis!$D234*X$65+Analysis!$F237*X$65^2/2+IF(X$65&gt;Analysis!$F240,Analysis!$G237*(X$65-Analysis!$F240),0)+IF(X$65&gt;Analysis!$H240,Analysis!$H237*(X$65-Analysis!$H240),0)+$C68</f>
        <v>0</v>
      </c>
      <c r="Y68" s="103">
        <f>-Analysis!$D234*Y$65+Analysis!$F237*Y$65^2/2+IF(Y$65&gt;Analysis!$F240,Analysis!$G237*(Y$65-Analysis!$F240),0)+IF(Y$65&gt;Analysis!$H240,Analysis!$H237*(Y$65-Analysis!$H240),0)+$C68</f>
        <v>0</v>
      </c>
      <c r="AL68" s="697"/>
    </row>
    <row r="69" spans="1:38" ht="15.75">
      <c r="A69" s="375"/>
      <c r="B69" s="107" t="s">
        <v>303</v>
      </c>
      <c r="C69" s="103">
        <f>Analysis!F108</f>
        <v>0</v>
      </c>
      <c r="D69" s="103">
        <f>-Analysis!$D235*D$65+Analysis!$F238*D$65^2/2+IF(D$65&gt;Analysis!$F241,Analysis!$G238*(D$65-Analysis!$F241),0)+IF(D$65&gt;Analysis!$H241,Analysis!$H238*(D$65-Analysis!$H241),0)+$C69</f>
        <v>0</v>
      </c>
      <c r="E69" s="103">
        <f>-Analysis!$D235*E$65+Analysis!$F238*E$65^2/2+IF(E$65&gt;Analysis!$F241,Analysis!$G238*(E$65-Analysis!$F241),0)+IF(E$65&gt;Analysis!$H241,Analysis!$H238*(E$65-Analysis!$H241),0)+$C69</f>
        <v>0</v>
      </c>
      <c r="F69" s="103">
        <f>-Analysis!$D235*F$65+Analysis!$F238*F$65^2/2+IF(F$65&gt;Analysis!$F241,Analysis!$G238*(F$65-Analysis!$F241),0)+IF(F$65&gt;Analysis!$H241,Analysis!$H238*(F$65-Analysis!$H241),0)+$C69</f>
        <v>0</v>
      </c>
      <c r="G69" s="103">
        <f>-Analysis!$D235*G$65+Analysis!$F238*G$65^2/2+IF(G$65&gt;Analysis!$F241,Analysis!$G238*(G$65-Analysis!$F241),0)+IF(G$65&gt;Analysis!$H241,Analysis!$H238*(G$65-Analysis!$H241),0)+$C69</f>
        <v>0</v>
      </c>
      <c r="H69" s="103">
        <f>-Analysis!$D235*H$65+Analysis!$F238*H$65^2/2+IF(H$65&gt;Analysis!$F241,Analysis!$G238*(H$65-Analysis!$F241),0)+IF(H$65&gt;Analysis!$H241,Analysis!$H238*(H$65-Analysis!$H241),0)+$C69</f>
        <v>0</v>
      </c>
      <c r="I69" s="103">
        <f>-Analysis!$D235*I$65+Analysis!$F238*I$65^2/2+IF(I$65&gt;Analysis!$F241,Analysis!$G238*(I$65-Analysis!$F241),0)+IF(I$65&gt;Analysis!$H241,Analysis!$H238*(I$65-Analysis!$H241),0)+$C69</f>
        <v>0</v>
      </c>
      <c r="J69" s="103">
        <f>-Analysis!$D235*J$65+Analysis!$F238*J$65^2/2+IF(J$65&gt;Analysis!$F241,Analysis!$G238*(J$65-Analysis!$F241),0)+IF(J$65&gt;Analysis!$H241,Analysis!$H238*(J$65-Analysis!$H241),0)+$C69</f>
        <v>0</v>
      </c>
      <c r="K69" s="103">
        <f>-Analysis!$D235*K$65+Analysis!$F238*K$65^2/2+IF(K$65&gt;Analysis!$F241,Analysis!$G238*(K$65-Analysis!$F241),0)+IF(K$65&gt;Analysis!$H241,Analysis!$H238*(K$65-Analysis!$H241),0)+$C69</f>
        <v>0</v>
      </c>
      <c r="L69" s="103">
        <f>-Analysis!$D235*L$65+Analysis!$F238*L$65^2/2+IF(L$65&gt;Analysis!$F241,Analysis!$G238*(L$65-Analysis!$F241),0)+IF(L$65&gt;Analysis!$H241,Analysis!$H238*(L$65-Analysis!$H241),0)+$C69</f>
        <v>0</v>
      </c>
      <c r="M69" s="103">
        <f>-Analysis!$D235*M$65+Analysis!$F238*M$65^2/2+IF(M$65&gt;Analysis!$F241,Analysis!$G238*(M$65-Analysis!$F241),0)+IF(M$65&gt;Analysis!$H241,Analysis!$H238*(M$65-Analysis!$H241),0)+$C69</f>
        <v>0</v>
      </c>
      <c r="N69" s="103">
        <f>-Analysis!$D235*N$65+Analysis!$F238*N$65^2/2+IF(N$65&gt;Analysis!$F241,Analysis!$G238*(N$65-Analysis!$F241),0)+IF(N$65&gt;Analysis!$H241,Analysis!$H238*(N$65-Analysis!$H241),0)+$C69</f>
        <v>0</v>
      </c>
      <c r="O69" s="103">
        <f>-Analysis!$D235*O$65+Analysis!$F238*O$65^2/2+IF(O$65&gt;Analysis!$F241,Analysis!$G238*(O$65-Analysis!$F241),0)+IF(O$65&gt;Analysis!$H241,Analysis!$H238*(O$65-Analysis!$H241),0)+$C69</f>
        <v>0</v>
      </c>
      <c r="P69" s="103">
        <f>-Analysis!$D235*P$65+Analysis!$F238*P$65^2/2+IF(P$65&gt;Analysis!$F241,Analysis!$G238*(P$65-Analysis!$F241),0)+IF(P$65&gt;Analysis!$H241,Analysis!$H238*(P$65-Analysis!$H241),0)+$C69</f>
        <v>0</v>
      </c>
      <c r="Q69" s="103">
        <f>-Analysis!$D235*Q$65+Analysis!$F238*Q$65^2/2+IF(Q$65&gt;Analysis!$F241,Analysis!$G238*(Q$65-Analysis!$F241),0)+IF(Q$65&gt;Analysis!$H241,Analysis!$H238*(Q$65-Analysis!$H241),0)+$C69</f>
        <v>0</v>
      </c>
      <c r="R69" s="103">
        <f>-Analysis!$D235*R$65+Analysis!$F238*R$65^2/2+IF(R$65&gt;Analysis!$F241,Analysis!$G238*(R$65-Analysis!$F241),0)+IF(R$65&gt;Analysis!$H241,Analysis!$H238*(R$65-Analysis!$H241),0)+$C69</f>
        <v>0</v>
      </c>
      <c r="S69" s="103">
        <f>-Analysis!$D235*S$65+Analysis!$F238*S$65^2/2+IF(S$65&gt;Analysis!$F241,Analysis!$G238*(S$65-Analysis!$F241),0)+IF(S$65&gt;Analysis!$H241,Analysis!$H238*(S$65-Analysis!$H241),0)+$C69</f>
        <v>0</v>
      </c>
      <c r="T69" s="103">
        <f>-Analysis!$D235*T$65+Analysis!$F238*T$65^2/2+IF(T$65&gt;Analysis!$F241,Analysis!$G238*(T$65-Analysis!$F241),0)+IF(T$65&gt;Analysis!$H241,Analysis!$H238*(T$65-Analysis!$H241),0)+$C69</f>
        <v>0</v>
      </c>
      <c r="U69" s="103">
        <f>-Analysis!$D235*U$65+Analysis!$F238*U$65^2/2+IF(U$65&gt;Analysis!$F241,Analysis!$G238*(U$65-Analysis!$F241),0)+IF(U$65&gt;Analysis!$H241,Analysis!$H238*(U$65-Analysis!$H241),0)+$C69</f>
        <v>0</v>
      </c>
      <c r="V69" s="103">
        <f>-Analysis!$D235*V$65+Analysis!$F238*V$65^2/2+IF(V$65&gt;Analysis!$F241,Analysis!$G238*(V$65-Analysis!$F241),0)+IF(V$65&gt;Analysis!$H241,Analysis!$H238*(V$65-Analysis!$H241),0)+$C69</f>
        <v>0</v>
      </c>
      <c r="W69" s="103">
        <f>Analysis!G108</f>
        <v>0</v>
      </c>
      <c r="X69" s="103">
        <f>-Analysis!$D235*X$65+Analysis!$F238*X$65^2/2+IF(X$65&gt;Analysis!$F241,Analysis!$G238*(X$65-Analysis!$F241),0)+IF(X$65&gt;Analysis!$H241,Analysis!$H238*(X$65-Analysis!$H241),0)+$C69</f>
        <v>0</v>
      </c>
      <c r="Y69" s="103">
        <f>-Analysis!$D235*Y$65+Analysis!$F238*Y$65^2/2+IF(Y$65&gt;Analysis!$F241,Analysis!$G238*(Y$65-Analysis!$F241),0)+IF(Y$65&gt;Analysis!$H241,Analysis!$H238*(Y$65-Analysis!$H241),0)+$C69</f>
        <v>0</v>
      </c>
      <c r="AL69" s="697"/>
    </row>
    <row r="70" spans="1:38" ht="15.75">
      <c r="A70" s="375"/>
      <c r="B70" s="108" t="s">
        <v>304</v>
      </c>
      <c r="C70" s="104">
        <v>0</v>
      </c>
      <c r="D70" s="104">
        <v>0</v>
      </c>
      <c r="E70" s="104">
        <v>0</v>
      </c>
      <c r="F70" s="104">
        <v>0</v>
      </c>
      <c r="G70" s="104">
        <v>0</v>
      </c>
      <c r="H70" s="104">
        <v>0</v>
      </c>
      <c r="I70" s="104">
        <v>0</v>
      </c>
      <c r="J70" s="104">
        <v>0</v>
      </c>
      <c r="K70" s="104">
        <v>0</v>
      </c>
      <c r="L70" s="104">
        <v>0</v>
      </c>
      <c r="M70" s="104">
        <v>0</v>
      </c>
      <c r="N70" s="104">
        <v>0</v>
      </c>
      <c r="O70" s="104">
        <v>0</v>
      </c>
      <c r="P70" s="104">
        <v>0</v>
      </c>
      <c r="Q70" s="104">
        <v>0</v>
      </c>
      <c r="R70" s="104">
        <v>0</v>
      </c>
      <c r="S70" s="104">
        <v>0</v>
      </c>
      <c r="T70" s="104">
        <v>0</v>
      </c>
      <c r="U70" s="104">
        <v>0</v>
      </c>
      <c r="V70" s="104">
        <v>0</v>
      </c>
      <c r="W70" s="104">
        <v>0</v>
      </c>
      <c r="X70" s="104"/>
      <c r="Y70" s="104"/>
      <c r="AL70" s="697"/>
    </row>
    <row r="71" spans="1:38" ht="15.75">
      <c r="A71" s="375"/>
      <c r="B71" s="108" t="s">
        <v>305</v>
      </c>
      <c r="C71" s="105">
        <f>Analysis!F115</f>
        <v>0</v>
      </c>
      <c r="D71" s="105">
        <f>-Analysis!$D236*D$65+Analysis!$F236*D$65^2/2+IF(D$65&gt;Analysis!$F242,Analysis!$G236*(D$65-Analysis!$F242),0)+IF(D$65&gt;Analysis!$H242,Analysis!$H236*(D$65-Analysis!$H242),0)+$C71</f>
        <v>0</v>
      </c>
      <c r="E71" s="105">
        <f>-Analysis!$D236*E$65+Analysis!$F236*E$65^2/2+IF(E$65&gt;Analysis!$F242,Analysis!$G236*(E$65-Analysis!$F242),0)+IF(E$65&gt;Analysis!$H242,Analysis!$H236*(E$65-Analysis!$H242),0)+$C71</f>
        <v>0</v>
      </c>
      <c r="F71" s="105">
        <f>-Analysis!$D236*F$65+Analysis!$F236*F$65^2/2+IF(F$65&gt;Analysis!$F242,Analysis!$G236*(F$65-Analysis!$F242),0)+IF(F$65&gt;Analysis!$H242,Analysis!$H236*(F$65-Analysis!$H242),0)+$C71</f>
        <v>0</v>
      </c>
      <c r="G71" s="105">
        <f>-Analysis!$D236*G$65+Analysis!$F236*G$65^2/2+IF(G$65&gt;Analysis!$F242,Analysis!$G236*(G$65-Analysis!$F242),0)+IF(G$65&gt;Analysis!$H242,Analysis!$H236*(G$65-Analysis!$H242),0)+$C71</f>
        <v>0</v>
      </c>
      <c r="H71" s="105">
        <f>-Analysis!$D236*H$65+Analysis!$F236*H$65^2/2+IF(H$65&gt;Analysis!$F242,Analysis!$G236*(H$65-Analysis!$F242),0)+IF(H$65&gt;Analysis!$H242,Analysis!$H236*(H$65-Analysis!$H242),0)+$C71</f>
        <v>0</v>
      </c>
      <c r="I71" s="105">
        <f>-Analysis!$D236*I$65+Analysis!$F236*I$65^2/2+IF(I$65&gt;Analysis!$F242,Analysis!$G236*(I$65-Analysis!$F242),0)+IF(I$65&gt;Analysis!$H242,Analysis!$H236*(I$65-Analysis!$H242),0)+$C71</f>
        <v>0</v>
      </c>
      <c r="J71" s="105">
        <f>-Analysis!$D236*J$65+Analysis!$F236*J$65^2/2+IF(J$65&gt;Analysis!$F242,Analysis!$G236*(J$65-Analysis!$F242),0)+IF(J$65&gt;Analysis!$H242,Analysis!$H236*(J$65-Analysis!$H242),0)+$C71</f>
        <v>0</v>
      </c>
      <c r="K71" s="105">
        <f>-Analysis!$D236*K$65+Analysis!$F236*K$65^2/2+IF(K$65&gt;Analysis!$F242,Analysis!$G236*(K$65-Analysis!$F242),0)+IF(K$65&gt;Analysis!$H242,Analysis!$H236*(K$65-Analysis!$H242),0)+$C71</f>
        <v>0</v>
      </c>
      <c r="L71" s="105">
        <f>-Analysis!$D236*L$65+Analysis!$F236*L$65^2/2+IF(L$65&gt;Analysis!$F242,Analysis!$G236*(L$65-Analysis!$F242),0)+IF(L$65&gt;Analysis!$H242,Analysis!$H236*(L$65-Analysis!$H242),0)+$C71</f>
        <v>0</v>
      </c>
      <c r="M71" s="105">
        <f>-Analysis!$D236*M$65+Analysis!$F236*M$65^2/2+IF(M$65&gt;Analysis!$F242,Analysis!$G236*(M$65-Analysis!$F242),0)+IF(M$65&gt;Analysis!$H242,Analysis!$H236*(M$65-Analysis!$H242),0)+$C71</f>
        <v>0</v>
      </c>
      <c r="N71" s="105">
        <f>-Analysis!$D236*N$65+Analysis!$F236*N$65^2/2+IF(N$65&gt;Analysis!$F242,Analysis!$G236*(N$65-Analysis!$F242),0)+IF(N$65&gt;Analysis!$H242,Analysis!$H236*(N$65-Analysis!$H242),0)+$C71</f>
        <v>0</v>
      </c>
      <c r="O71" s="105">
        <f>-Analysis!$D236*O$65+Analysis!$F236*O$65^2/2+IF(O$65&gt;Analysis!$F242,Analysis!$G236*(O$65-Analysis!$F242),0)+IF(O$65&gt;Analysis!$H242,Analysis!$H236*(O$65-Analysis!$H242),0)+$C71</f>
        <v>0</v>
      </c>
      <c r="P71" s="105">
        <f>-Analysis!$D236*P$65+Analysis!$F236*P$65^2/2+IF(P$65&gt;Analysis!$F242,Analysis!$G236*(P$65-Analysis!$F242),0)+IF(P$65&gt;Analysis!$H242,Analysis!$H236*(P$65-Analysis!$H242),0)+$C71</f>
        <v>0</v>
      </c>
      <c r="Q71" s="105">
        <f>-Analysis!$D236*Q$65+Analysis!$F236*Q$65^2/2+IF(Q$65&gt;Analysis!$F242,Analysis!$G236*(Q$65-Analysis!$F242),0)+IF(Q$65&gt;Analysis!$H242,Analysis!$H236*(Q$65-Analysis!$H242),0)+$C71</f>
        <v>0</v>
      </c>
      <c r="R71" s="105">
        <f>-Analysis!$D236*R$65+Analysis!$F236*R$65^2/2+IF(R$65&gt;Analysis!$F242,Analysis!$G236*(R$65-Analysis!$F242),0)+IF(R$65&gt;Analysis!$H242,Analysis!$H236*(R$65-Analysis!$H242),0)+$C71</f>
        <v>0</v>
      </c>
      <c r="S71" s="105">
        <f>-Analysis!$D236*S$65+Analysis!$F236*S$65^2/2+IF(S$65&gt;Analysis!$F242,Analysis!$G236*(S$65-Analysis!$F242),0)+IF(S$65&gt;Analysis!$H242,Analysis!$H236*(S$65-Analysis!$H242),0)+$C71</f>
        <v>0</v>
      </c>
      <c r="T71" s="105">
        <f>-Analysis!$D236*T$65+Analysis!$F236*T$65^2/2+IF(T$65&gt;Analysis!$F242,Analysis!$G236*(T$65-Analysis!$F242),0)+IF(T$65&gt;Analysis!$H242,Analysis!$H236*(T$65-Analysis!$H242),0)+$C71</f>
        <v>0</v>
      </c>
      <c r="U71" s="105">
        <f>-Analysis!$D236*U$65+Analysis!$F236*U$65^2/2+IF(U$65&gt;Analysis!$F242,Analysis!$G236*(U$65-Analysis!$F242),0)+IF(U$65&gt;Analysis!$H242,Analysis!$H236*(U$65-Analysis!$H242),0)+$C71</f>
        <v>0</v>
      </c>
      <c r="V71" s="105">
        <f>-Analysis!$D236*V$65+Analysis!$F236*V$65^2/2+IF(V$65&gt;Analysis!$F242,Analysis!$G236*(V$65-Analysis!$F242),0)+IF(V$65&gt;Analysis!$H242,Analysis!$H236*(V$65-Analysis!$H242),0)+$C71</f>
        <v>0</v>
      </c>
      <c r="W71" s="105">
        <f>Analysis!G115</f>
        <v>0</v>
      </c>
      <c r="X71" s="105">
        <f>-Analysis!$D236*X$65+Analysis!$F236*X$65^2/2+IF(X$65&gt;Analysis!$F242,Analysis!$G236*(X$65-Analysis!$F242),0)+IF(X$65&gt;Analysis!$H242,Analysis!$H236*(X$65-Analysis!$H242),0)+$C71</f>
        <v>0</v>
      </c>
      <c r="Y71" s="105">
        <f>-Analysis!$D236*Y$65+Analysis!$F236*Y$65^2/2+IF(Y$65&gt;Analysis!$F242,Analysis!$G236*(Y$65-Analysis!$F242),0)+IF(Y$65&gt;Analysis!$H242,Analysis!$H236*(Y$65-Analysis!$H242),0)+$C71</f>
        <v>0</v>
      </c>
      <c r="AL71" s="697"/>
    </row>
    <row r="72" spans="1:38" ht="15.75">
      <c r="A72" s="375"/>
      <c r="B72" s="108" t="s">
        <v>306</v>
      </c>
      <c r="C72" s="105">
        <f>Analysis!F116</f>
        <v>0</v>
      </c>
      <c r="D72" s="105">
        <f>-Analysis!$D237*D$65+Analysis!$F237*D$65^2/2+IF(D$65&gt;Analysis!$F243,Analysis!$G237*(D$65-Analysis!$F243),0)+IF(D$65&gt;Analysis!$H243,Analysis!$H237*(D$65-Analysis!$H243),0)+$C72</f>
        <v>0</v>
      </c>
      <c r="E72" s="105">
        <f>-Analysis!$D237*E$65+Analysis!$F237*E$65^2/2+IF(E$65&gt;Analysis!$F243,Analysis!$G237*(E$65-Analysis!$F243),0)+IF(E$65&gt;Analysis!$H243,Analysis!$H237*(E$65-Analysis!$H243),0)+$C72</f>
        <v>0</v>
      </c>
      <c r="F72" s="105">
        <f>-Analysis!$D237*F$65+Analysis!$F237*F$65^2/2+IF(F$65&gt;Analysis!$F243,Analysis!$G237*(F$65-Analysis!$F243),0)+IF(F$65&gt;Analysis!$H243,Analysis!$H237*(F$65-Analysis!$H243),0)+$C72</f>
        <v>0</v>
      </c>
      <c r="G72" s="105">
        <f>-Analysis!$D237*G$65+Analysis!$F237*G$65^2/2+IF(G$65&gt;Analysis!$F243,Analysis!$G237*(G$65-Analysis!$F243),0)+IF(G$65&gt;Analysis!$H243,Analysis!$H237*(G$65-Analysis!$H243),0)+$C72</f>
        <v>0</v>
      </c>
      <c r="H72" s="105">
        <f>-Analysis!$D237*H$65+Analysis!$F237*H$65^2/2+IF(H$65&gt;Analysis!$F243,Analysis!$G237*(H$65-Analysis!$F243),0)+IF(H$65&gt;Analysis!$H243,Analysis!$H237*(H$65-Analysis!$H243),0)+$C72</f>
        <v>0</v>
      </c>
      <c r="I72" s="105">
        <f>-Analysis!$D237*I$65+Analysis!$F237*I$65^2/2+IF(I$65&gt;Analysis!$F243,Analysis!$G237*(I$65-Analysis!$F243),0)+IF(I$65&gt;Analysis!$H243,Analysis!$H237*(I$65-Analysis!$H243),0)+$C72</f>
        <v>0</v>
      </c>
      <c r="J72" s="105">
        <f>-Analysis!$D237*J$65+Analysis!$F237*J$65^2/2+IF(J$65&gt;Analysis!$F243,Analysis!$G237*(J$65-Analysis!$F243),0)+IF(J$65&gt;Analysis!$H243,Analysis!$H237*(J$65-Analysis!$H243),0)+$C72</f>
        <v>0</v>
      </c>
      <c r="K72" s="105">
        <f>-Analysis!$D237*K$65+Analysis!$F237*K$65^2/2+IF(K$65&gt;Analysis!$F243,Analysis!$G237*(K$65-Analysis!$F243),0)+IF(K$65&gt;Analysis!$H243,Analysis!$H237*(K$65-Analysis!$H243),0)+$C72</f>
        <v>0</v>
      </c>
      <c r="L72" s="105">
        <f>-Analysis!$D237*L$65+Analysis!$F237*L$65^2/2+IF(L$65&gt;Analysis!$F243,Analysis!$G237*(L$65-Analysis!$F243),0)+IF(L$65&gt;Analysis!$H243,Analysis!$H237*(L$65-Analysis!$H243),0)+$C72</f>
        <v>0</v>
      </c>
      <c r="M72" s="105">
        <f>-Analysis!$D237*M$65+Analysis!$F237*M$65^2/2+IF(M$65&gt;Analysis!$F243,Analysis!$G237*(M$65-Analysis!$F243),0)+IF(M$65&gt;Analysis!$H243,Analysis!$H237*(M$65-Analysis!$H243),0)+$C72</f>
        <v>0</v>
      </c>
      <c r="N72" s="105">
        <f>-Analysis!$D237*N$65+Analysis!$F237*N$65^2/2+IF(N$65&gt;Analysis!$F243,Analysis!$G237*(N$65-Analysis!$F243),0)+IF(N$65&gt;Analysis!$H243,Analysis!$H237*(N$65-Analysis!$H243),0)+$C72</f>
        <v>0</v>
      </c>
      <c r="O72" s="105">
        <f>-Analysis!$D237*O$65+Analysis!$F237*O$65^2/2+IF(O$65&gt;Analysis!$F243,Analysis!$G237*(O$65-Analysis!$F243),0)+IF(O$65&gt;Analysis!$H243,Analysis!$H237*(O$65-Analysis!$H243),0)+$C72</f>
        <v>0</v>
      </c>
      <c r="P72" s="105">
        <f>-Analysis!$D237*P$65+Analysis!$F237*P$65^2/2+IF(P$65&gt;Analysis!$F243,Analysis!$G237*(P$65-Analysis!$F243),0)+IF(P$65&gt;Analysis!$H243,Analysis!$H237*(P$65-Analysis!$H243),0)+$C72</f>
        <v>0</v>
      </c>
      <c r="Q72" s="105">
        <f>-Analysis!$D237*Q$65+Analysis!$F237*Q$65^2/2+IF(Q$65&gt;Analysis!$F243,Analysis!$G237*(Q$65-Analysis!$F243),0)+IF(Q$65&gt;Analysis!$H243,Analysis!$H237*(Q$65-Analysis!$H243),0)+$C72</f>
        <v>0</v>
      </c>
      <c r="R72" s="105">
        <f>-Analysis!$D237*R$65+Analysis!$F237*R$65^2/2+IF(R$65&gt;Analysis!$F243,Analysis!$G237*(R$65-Analysis!$F243),0)+IF(R$65&gt;Analysis!$H243,Analysis!$H237*(R$65-Analysis!$H243),0)+$C72</f>
        <v>0</v>
      </c>
      <c r="S72" s="105">
        <f>-Analysis!$D237*S$65+Analysis!$F237*S$65^2/2+IF(S$65&gt;Analysis!$F243,Analysis!$G237*(S$65-Analysis!$F243),0)+IF(S$65&gt;Analysis!$H243,Analysis!$H237*(S$65-Analysis!$H243),0)+$C72</f>
        <v>0</v>
      </c>
      <c r="T72" s="105">
        <f>-Analysis!$D237*T$65+Analysis!$F237*T$65^2/2+IF(T$65&gt;Analysis!$F243,Analysis!$G237*(T$65-Analysis!$F243),0)+IF(T$65&gt;Analysis!$H243,Analysis!$H237*(T$65-Analysis!$H243),0)+$C72</f>
        <v>0</v>
      </c>
      <c r="U72" s="105">
        <f>-Analysis!$D237*U$65+Analysis!$F237*U$65^2/2+IF(U$65&gt;Analysis!$F243,Analysis!$G237*(U$65-Analysis!$F243),0)+IF(U$65&gt;Analysis!$H243,Analysis!$H237*(U$65-Analysis!$H243),0)+$C72</f>
        <v>0</v>
      </c>
      <c r="V72" s="105">
        <f>-Analysis!$D237*V$65+Analysis!$F237*V$65^2/2+IF(V$65&gt;Analysis!$F243,Analysis!$G237*(V$65-Analysis!$F243),0)+IF(V$65&gt;Analysis!$H243,Analysis!$H237*(V$65-Analysis!$H243),0)+$C72</f>
        <v>0</v>
      </c>
      <c r="W72" s="105">
        <f>Analysis!G116</f>
        <v>0</v>
      </c>
      <c r="X72" s="105">
        <f>-Analysis!$D237*X$65+Analysis!$F237*X$65^2/2+IF(X$65&gt;Analysis!$F243,Analysis!$G237*(X$65-Analysis!$F243),0)+IF(X$65&gt;Analysis!$H243,Analysis!$H237*(X$65-Analysis!$H243),0)+$C72</f>
        <v>0</v>
      </c>
      <c r="Y72" s="105">
        <f>-Analysis!$D237*Y$65+Analysis!$F237*Y$65^2/2+IF(Y$65&gt;Analysis!$F243,Analysis!$G237*(Y$65-Analysis!$F243),0)+IF(Y$65&gt;Analysis!$H243,Analysis!$H237*(Y$65-Analysis!$H243),0)+$C72</f>
        <v>0</v>
      </c>
      <c r="AL72" s="697"/>
    </row>
    <row r="73" spans="1:38" ht="15.75">
      <c r="A73" s="375"/>
      <c r="B73" s="111" t="s">
        <v>307</v>
      </c>
      <c r="C73" s="105">
        <f>Analysis!F117</f>
        <v>0</v>
      </c>
      <c r="D73" s="105">
        <f>-Analysis!$D238*D$65+Analysis!$F238*D$65^2/2+IF(D$65&gt;Analysis!$F244,Analysis!$G238*(D$65-Analysis!$F244),0)+IF(D$65&gt;Analysis!$H244,Analysis!$H238*(D$65-Analysis!$H244),0)+$C73</f>
        <v>0</v>
      </c>
      <c r="E73" s="105">
        <f>-Analysis!$D238*E$65+Analysis!$F238*E$65^2/2+IF(E$65&gt;Analysis!$F244,Analysis!$G238*(E$65-Analysis!$F244),0)+IF(E$65&gt;Analysis!$H244,Analysis!$H238*(E$65-Analysis!$H244),0)+$C73</f>
        <v>0</v>
      </c>
      <c r="F73" s="105">
        <f>-Analysis!$D238*F$65+Analysis!$F238*F$65^2/2+IF(F$65&gt;Analysis!$F244,Analysis!$G238*(F$65-Analysis!$F244),0)+IF(F$65&gt;Analysis!$H244,Analysis!$H238*(F$65-Analysis!$H244),0)+$C73</f>
        <v>0</v>
      </c>
      <c r="G73" s="105">
        <f>-Analysis!$D238*G$65+Analysis!$F238*G$65^2/2+IF(G$65&gt;Analysis!$F244,Analysis!$G238*(G$65-Analysis!$F244),0)+IF(G$65&gt;Analysis!$H244,Analysis!$H238*(G$65-Analysis!$H244),0)+$C73</f>
        <v>0</v>
      </c>
      <c r="H73" s="105">
        <f>-Analysis!$D238*H$65+Analysis!$F238*H$65^2/2+IF(H$65&gt;Analysis!$F244,Analysis!$G238*(H$65-Analysis!$F244),0)+IF(H$65&gt;Analysis!$H244,Analysis!$H238*(H$65-Analysis!$H244),0)+$C73</f>
        <v>0</v>
      </c>
      <c r="I73" s="105">
        <f>-Analysis!$D238*I$65+Analysis!$F238*I$65^2/2+IF(I$65&gt;Analysis!$F244,Analysis!$G238*(I$65-Analysis!$F244),0)+IF(I$65&gt;Analysis!$H244,Analysis!$H238*(I$65-Analysis!$H244),0)+$C73</f>
        <v>0</v>
      </c>
      <c r="J73" s="105">
        <f>-Analysis!$D238*J$65+Analysis!$F238*J$65^2/2+IF(J$65&gt;Analysis!$F244,Analysis!$G238*(J$65-Analysis!$F244),0)+IF(J$65&gt;Analysis!$H244,Analysis!$H238*(J$65-Analysis!$H244),0)+$C73</f>
        <v>0</v>
      </c>
      <c r="K73" s="105">
        <f>-Analysis!$D238*K$65+Analysis!$F238*K$65^2/2+IF(K$65&gt;Analysis!$F244,Analysis!$G238*(K$65-Analysis!$F244),0)+IF(K$65&gt;Analysis!$H244,Analysis!$H238*(K$65-Analysis!$H244),0)+$C73</f>
        <v>0</v>
      </c>
      <c r="L73" s="105">
        <f>-Analysis!$D238*L$65+Analysis!$F238*L$65^2/2+IF(L$65&gt;Analysis!$F244,Analysis!$G238*(L$65-Analysis!$F244),0)+IF(L$65&gt;Analysis!$H244,Analysis!$H238*(L$65-Analysis!$H244),0)+$C73</f>
        <v>0</v>
      </c>
      <c r="M73" s="105">
        <f>-Analysis!$D238*M$65+Analysis!$F238*M$65^2/2+IF(M$65&gt;Analysis!$F244,Analysis!$G238*(M$65-Analysis!$F244),0)+IF(M$65&gt;Analysis!$H244,Analysis!$H238*(M$65-Analysis!$H244),0)+$C73</f>
        <v>0</v>
      </c>
      <c r="N73" s="105">
        <f>-Analysis!$D238*N$65+Analysis!$F238*N$65^2/2+IF(N$65&gt;Analysis!$F244,Analysis!$G238*(N$65-Analysis!$F244),0)+IF(N$65&gt;Analysis!$H244,Analysis!$H238*(N$65-Analysis!$H244),0)+$C73</f>
        <v>0</v>
      </c>
      <c r="O73" s="105">
        <f>-Analysis!$D238*O$65+Analysis!$F238*O$65^2/2+IF(O$65&gt;Analysis!$F244,Analysis!$G238*(O$65-Analysis!$F244),0)+IF(O$65&gt;Analysis!$H244,Analysis!$H238*(O$65-Analysis!$H244),0)+$C73</f>
        <v>0</v>
      </c>
      <c r="P73" s="105">
        <f>-Analysis!$D238*P$65+Analysis!$F238*P$65^2/2+IF(P$65&gt;Analysis!$F244,Analysis!$G238*(P$65-Analysis!$F244),0)+IF(P$65&gt;Analysis!$H244,Analysis!$H238*(P$65-Analysis!$H244),0)+$C73</f>
        <v>0</v>
      </c>
      <c r="Q73" s="105">
        <f>-Analysis!$D238*Q$65+Analysis!$F238*Q$65^2/2+IF(Q$65&gt;Analysis!$F244,Analysis!$G238*(Q$65-Analysis!$F244),0)+IF(Q$65&gt;Analysis!$H244,Analysis!$H238*(Q$65-Analysis!$H244),0)+$C73</f>
        <v>0</v>
      </c>
      <c r="R73" s="105">
        <f>-Analysis!$D238*R$65+Analysis!$F238*R$65^2/2+IF(R$65&gt;Analysis!$F244,Analysis!$G238*(R$65-Analysis!$F244),0)+IF(R$65&gt;Analysis!$H244,Analysis!$H238*(R$65-Analysis!$H244),0)+$C73</f>
        <v>0</v>
      </c>
      <c r="S73" s="105">
        <f>-Analysis!$D238*S$65+Analysis!$F238*S$65^2/2+IF(S$65&gt;Analysis!$F244,Analysis!$G238*(S$65-Analysis!$F244),0)+IF(S$65&gt;Analysis!$H244,Analysis!$H238*(S$65-Analysis!$H244),0)+$C73</f>
        <v>0</v>
      </c>
      <c r="T73" s="105">
        <f>-Analysis!$D238*T$65+Analysis!$F238*T$65^2/2+IF(T$65&gt;Analysis!$F244,Analysis!$G238*(T$65-Analysis!$F244),0)+IF(T$65&gt;Analysis!$H244,Analysis!$H238*(T$65-Analysis!$H244),0)+$C73</f>
        <v>0</v>
      </c>
      <c r="U73" s="105">
        <f>-Analysis!$D238*U$65+Analysis!$F238*U$65^2/2+IF(U$65&gt;Analysis!$F244,Analysis!$G238*(U$65-Analysis!$F244),0)+IF(U$65&gt;Analysis!$H244,Analysis!$H238*(U$65-Analysis!$H244),0)+$C73</f>
        <v>0</v>
      </c>
      <c r="V73" s="105">
        <f>-Analysis!$D238*V$65+Analysis!$F238*V$65^2/2+IF(V$65&gt;Analysis!$F244,Analysis!$G238*(V$65-Analysis!$F244),0)+IF(V$65&gt;Analysis!$H244,Analysis!$H238*(V$65-Analysis!$H244),0)+$C73</f>
        <v>0</v>
      </c>
      <c r="W73" s="105">
        <f>Analysis!G117</f>
        <v>0</v>
      </c>
      <c r="X73" s="105">
        <f>-Analysis!$D238*X$65+Analysis!$F238*X$65^2/2+IF(X$65&gt;Analysis!$F244,Analysis!$G238*(X$65-Analysis!$F244),0)+IF(X$65&gt;Analysis!$H244,Analysis!$H238*(X$65-Analysis!$H244),0)+$C73</f>
        <v>0</v>
      </c>
      <c r="Y73" s="105">
        <f>-Analysis!$D238*Y$65+Analysis!$F238*Y$65^2/2+IF(Y$65&gt;Analysis!$F244,Analysis!$G238*(Y$65-Analysis!$F244),0)+IF(Y$65&gt;Analysis!$H244,Analysis!$H238*(Y$65-Analysis!$H244),0)+$C73</f>
        <v>0</v>
      </c>
      <c r="AL73" s="697"/>
    </row>
    <row r="74" spans="1:38" ht="15.75">
      <c r="A74" s="375"/>
      <c r="B74" s="111" t="s">
        <v>308</v>
      </c>
      <c r="C74" s="116">
        <f aca="true" t="shared" si="16" ref="C74:Y74">0.7*MAX(C67:C69)</f>
        <v>0</v>
      </c>
      <c r="D74" s="116">
        <f t="shared" si="16"/>
        <v>0</v>
      </c>
      <c r="E74" s="116">
        <f t="shared" si="16"/>
        <v>0</v>
      </c>
      <c r="F74" s="116">
        <f t="shared" si="16"/>
        <v>0</v>
      </c>
      <c r="G74" s="116">
        <f t="shared" si="16"/>
        <v>0</v>
      </c>
      <c r="H74" s="116">
        <f t="shared" si="16"/>
        <v>0</v>
      </c>
      <c r="I74" s="116">
        <f t="shared" si="16"/>
        <v>0</v>
      </c>
      <c r="J74" s="116">
        <f t="shared" si="16"/>
        <v>0</v>
      </c>
      <c r="K74" s="116">
        <f t="shared" si="16"/>
        <v>0</v>
      </c>
      <c r="L74" s="116">
        <f t="shared" si="16"/>
        <v>0</v>
      </c>
      <c r="M74" s="116">
        <f t="shared" si="16"/>
        <v>0</v>
      </c>
      <c r="N74" s="116">
        <f t="shared" si="16"/>
        <v>0</v>
      </c>
      <c r="O74" s="116">
        <f t="shared" si="16"/>
        <v>0</v>
      </c>
      <c r="P74" s="116">
        <f t="shared" si="16"/>
        <v>0</v>
      </c>
      <c r="Q74" s="116">
        <f t="shared" si="16"/>
        <v>0</v>
      </c>
      <c r="R74" s="116">
        <f t="shared" si="16"/>
        <v>0</v>
      </c>
      <c r="S74" s="116">
        <f t="shared" si="16"/>
        <v>0</v>
      </c>
      <c r="T74" s="116">
        <f t="shared" si="16"/>
        <v>0</v>
      </c>
      <c r="U74" s="116">
        <f t="shared" si="16"/>
        <v>0</v>
      </c>
      <c r="V74" s="116">
        <f t="shared" si="16"/>
        <v>0</v>
      </c>
      <c r="W74" s="116">
        <f t="shared" si="16"/>
        <v>0</v>
      </c>
      <c r="X74" s="116">
        <f t="shared" si="16"/>
        <v>0</v>
      </c>
      <c r="Y74" s="116">
        <f t="shared" si="16"/>
        <v>0</v>
      </c>
      <c r="AL74" s="697"/>
    </row>
    <row r="75" spans="1:38" ht="15.75">
      <c r="A75" s="375"/>
      <c r="B75" s="113" t="s">
        <v>309</v>
      </c>
      <c r="C75" s="116">
        <f aca="true" t="shared" si="17" ref="C75:Y75">0.7*MIN(C67:C69)</f>
        <v>0</v>
      </c>
      <c r="D75" s="116">
        <f t="shared" si="17"/>
        <v>0</v>
      </c>
      <c r="E75" s="116">
        <f t="shared" si="17"/>
        <v>0</v>
      </c>
      <c r="F75" s="116">
        <f t="shared" si="17"/>
        <v>0</v>
      </c>
      <c r="G75" s="116">
        <f t="shared" si="17"/>
        <v>0</v>
      </c>
      <c r="H75" s="116">
        <f t="shared" si="17"/>
        <v>0</v>
      </c>
      <c r="I75" s="116">
        <f t="shared" si="17"/>
        <v>0</v>
      </c>
      <c r="J75" s="116">
        <f t="shared" si="17"/>
        <v>0</v>
      </c>
      <c r="K75" s="116">
        <f t="shared" si="17"/>
        <v>0</v>
      </c>
      <c r="L75" s="116">
        <f t="shared" si="17"/>
        <v>0</v>
      </c>
      <c r="M75" s="116">
        <f t="shared" si="17"/>
        <v>0</v>
      </c>
      <c r="N75" s="116">
        <f t="shared" si="17"/>
        <v>0</v>
      </c>
      <c r="O75" s="116">
        <f t="shared" si="17"/>
        <v>0</v>
      </c>
      <c r="P75" s="116">
        <f t="shared" si="17"/>
        <v>0</v>
      </c>
      <c r="Q75" s="116">
        <f t="shared" si="17"/>
        <v>0</v>
      </c>
      <c r="R75" s="116">
        <f t="shared" si="17"/>
        <v>0</v>
      </c>
      <c r="S75" s="116">
        <f t="shared" si="17"/>
        <v>0</v>
      </c>
      <c r="T75" s="116">
        <f t="shared" si="17"/>
        <v>0</v>
      </c>
      <c r="U75" s="116">
        <f t="shared" si="17"/>
        <v>0</v>
      </c>
      <c r="V75" s="116">
        <f t="shared" si="17"/>
        <v>0</v>
      </c>
      <c r="W75" s="116">
        <f t="shared" si="17"/>
        <v>0</v>
      </c>
      <c r="X75" s="116">
        <f t="shared" si="17"/>
        <v>0</v>
      </c>
      <c r="Y75" s="116">
        <f t="shared" si="17"/>
        <v>0</v>
      </c>
      <c r="AL75" s="697"/>
    </row>
    <row r="76" spans="1:38" ht="15.75">
      <c r="A76" s="375"/>
      <c r="B76" s="113" t="s">
        <v>310</v>
      </c>
      <c r="C76" s="114">
        <f aca="true" t="shared" si="18" ref="C76:W76">MIN(C71:C75,0)</f>
        <v>0</v>
      </c>
      <c r="D76" s="114">
        <f t="shared" si="18"/>
        <v>0</v>
      </c>
      <c r="E76" s="114">
        <f t="shared" si="18"/>
        <v>0</v>
      </c>
      <c r="F76" s="114">
        <f t="shared" si="18"/>
        <v>0</v>
      </c>
      <c r="G76" s="114">
        <f t="shared" si="18"/>
        <v>0</v>
      </c>
      <c r="H76" s="114">
        <f t="shared" si="18"/>
        <v>0</v>
      </c>
      <c r="I76" s="114">
        <f t="shared" si="18"/>
        <v>0</v>
      </c>
      <c r="J76" s="114">
        <f t="shared" si="18"/>
        <v>0</v>
      </c>
      <c r="K76" s="114">
        <f t="shared" si="18"/>
        <v>0</v>
      </c>
      <c r="L76" s="114">
        <f t="shared" si="18"/>
        <v>0</v>
      </c>
      <c r="M76" s="114">
        <f t="shared" si="18"/>
        <v>0</v>
      </c>
      <c r="N76" s="114">
        <f t="shared" si="18"/>
        <v>0</v>
      </c>
      <c r="O76" s="114">
        <f t="shared" si="18"/>
        <v>0</v>
      </c>
      <c r="P76" s="114">
        <f t="shared" si="18"/>
        <v>0</v>
      </c>
      <c r="Q76" s="114">
        <f t="shared" si="18"/>
        <v>0</v>
      </c>
      <c r="R76" s="114">
        <f t="shared" si="18"/>
        <v>0</v>
      </c>
      <c r="S76" s="114">
        <f t="shared" si="18"/>
        <v>0</v>
      </c>
      <c r="T76" s="114">
        <f t="shared" si="18"/>
        <v>0</v>
      </c>
      <c r="U76" s="114">
        <f t="shared" si="18"/>
        <v>0</v>
      </c>
      <c r="V76" s="114">
        <f t="shared" si="18"/>
        <v>0</v>
      </c>
      <c r="W76" s="114">
        <f t="shared" si="18"/>
        <v>0</v>
      </c>
      <c r="X76" s="114"/>
      <c r="Y76" s="114"/>
      <c r="AL76" s="697"/>
    </row>
    <row r="77" spans="1:38" ht="15.75">
      <c r="A77" s="375"/>
      <c r="B77" s="107" t="s">
        <v>311</v>
      </c>
      <c r="C77" s="114">
        <f aca="true" t="shared" si="19" ref="C77:Y77">MAX(C71:C75,0)</f>
        <v>0</v>
      </c>
      <c r="D77" s="114">
        <f t="shared" si="19"/>
        <v>0</v>
      </c>
      <c r="E77" s="114">
        <f t="shared" si="19"/>
        <v>0</v>
      </c>
      <c r="F77" s="114">
        <f t="shared" si="19"/>
        <v>0</v>
      </c>
      <c r="G77" s="114">
        <f t="shared" si="19"/>
        <v>0</v>
      </c>
      <c r="H77" s="115">
        <f t="shared" si="19"/>
        <v>0</v>
      </c>
      <c r="I77" s="114">
        <f t="shared" si="19"/>
        <v>0</v>
      </c>
      <c r="J77" s="114">
        <f t="shared" si="19"/>
        <v>0</v>
      </c>
      <c r="K77" s="114">
        <f t="shared" si="19"/>
        <v>0</v>
      </c>
      <c r="L77" s="114">
        <f t="shared" si="19"/>
        <v>0</v>
      </c>
      <c r="M77" s="114">
        <f t="shared" si="19"/>
        <v>0</v>
      </c>
      <c r="N77" s="114">
        <f t="shared" si="19"/>
        <v>0</v>
      </c>
      <c r="O77" s="114">
        <f t="shared" si="19"/>
        <v>0</v>
      </c>
      <c r="P77" s="114">
        <f t="shared" si="19"/>
        <v>0</v>
      </c>
      <c r="Q77" s="114">
        <f t="shared" si="19"/>
        <v>0</v>
      </c>
      <c r="R77" s="115">
        <f t="shared" si="19"/>
        <v>0</v>
      </c>
      <c r="S77" s="114">
        <f t="shared" si="19"/>
        <v>0</v>
      </c>
      <c r="T77" s="114">
        <f t="shared" si="19"/>
        <v>0</v>
      </c>
      <c r="U77" s="114">
        <f t="shared" si="19"/>
        <v>0</v>
      </c>
      <c r="V77" s="114">
        <f t="shared" si="19"/>
        <v>0</v>
      </c>
      <c r="W77" s="114">
        <f t="shared" si="19"/>
        <v>0</v>
      </c>
      <c r="X77" s="114">
        <f t="shared" si="19"/>
        <v>0</v>
      </c>
      <c r="Y77" s="114">
        <f t="shared" si="19"/>
        <v>0</v>
      </c>
      <c r="AL77" s="697"/>
    </row>
    <row r="78" spans="1:38" ht="16.5" thickBot="1">
      <c r="A78" s="375"/>
      <c r="B78" s="107" t="s">
        <v>304</v>
      </c>
      <c r="C78" s="104">
        <v>0</v>
      </c>
      <c r="D78" s="104">
        <v>0</v>
      </c>
      <c r="E78" s="104">
        <v>0</v>
      </c>
      <c r="F78" s="104">
        <v>0</v>
      </c>
      <c r="G78" s="104">
        <v>0</v>
      </c>
      <c r="H78" s="104">
        <v>0</v>
      </c>
      <c r="I78" s="104">
        <v>0</v>
      </c>
      <c r="J78" s="104">
        <v>0</v>
      </c>
      <c r="K78" s="104">
        <v>0</v>
      </c>
      <c r="L78" s="104">
        <v>0</v>
      </c>
      <c r="M78" s="104">
        <v>0</v>
      </c>
      <c r="N78" s="104">
        <v>0</v>
      </c>
      <c r="O78" s="104">
        <v>0</v>
      </c>
      <c r="P78" s="104">
        <v>0</v>
      </c>
      <c r="Q78" s="104">
        <v>0</v>
      </c>
      <c r="R78" s="104">
        <v>0</v>
      </c>
      <c r="S78" s="104">
        <v>0</v>
      </c>
      <c r="T78" s="104">
        <v>0</v>
      </c>
      <c r="U78" s="104">
        <v>0</v>
      </c>
      <c r="V78" s="104">
        <v>0</v>
      </c>
      <c r="W78" s="104">
        <v>0</v>
      </c>
      <c r="X78" s="38"/>
      <c r="Y78" s="38"/>
      <c r="AL78" s="697"/>
    </row>
    <row r="79" spans="1:38" ht="18">
      <c r="A79" s="375"/>
      <c r="B79" s="539" t="str">
        <f>B2</f>
        <v> Project</v>
      </c>
      <c r="C79" s="540" t="str">
        <f>C2</f>
        <v>Spreadsheets to BS 8110</v>
      </c>
      <c r="D79" s="540"/>
      <c r="E79" s="542"/>
      <c r="F79" s="542"/>
      <c r="G79" s="542"/>
      <c r="H79" s="541"/>
      <c r="I79" s="541"/>
      <c r="J79" s="541"/>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615"/>
      <c r="AL79" s="375"/>
    </row>
    <row r="80" spans="1:38" ht="18">
      <c r="A80" s="375"/>
      <c r="B80" s="543" t="str">
        <f>B3</f>
        <v> Location</v>
      </c>
      <c r="C80" s="544" t="str">
        <f>C3</f>
        <v>3rd Floor slab,  from 1 to 5a</v>
      </c>
      <c r="E80" s="545"/>
      <c r="F80" s="545"/>
      <c r="G80" s="545"/>
      <c r="H80" s="122"/>
      <c r="I80" s="122"/>
      <c r="J80" s="717" t="s">
        <v>421</v>
      </c>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545"/>
      <c r="AJ80" s="545"/>
      <c r="AK80" s="616"/>
      <c r="AL80" s="375"/>
    </row>
    <row r="81" spans="1:38" ht="12.75">
      <c r="A81" s="375"/>
      <c r="B81" s="546"/>
      <c r="C81" s="547" t="str">
        <f>C4</f>
        <v>RIBBED SLABS to BS 8110:1997 (Analysis &amp; Design)</v>
      </c>
      <c r="E81" s="545"/>
      <c r="F81" s="545"/>
      <c r="G81" s="545"/>
      <c r="H81" s="122"/>
      <c r="I81" s="122"/>
      <c r="J81" s="122"/>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122"/>
      <c r="AJ81" s="548" t="str">
        <f>AJ4</f>
        <v>Made by  rmw    Job No  R68</v>
      </c>
      <c r="AK81" s="616"/>
      <c r="AL81" s="375"/>
    </row>
    <row r="82" spans="1:38" ht="13.5" thickBot="1">
      <c r="A82" s="375"/>
      <c r="B82" s="549"/>
      <c r="C82" s="550" t="str">
        <f>C5</f>
        <v>Originated from  RCC32.xls v2.2 on CD               © 2000-2003 BCA for RCC</v>
      </c>
      <c r="D82" s="551"/>
      <c r="E82" s="552"/>
      <c r="F82" s="552"/>
      <c r="G82" s="552"/>
      <c r="H82" s="551"/>
      <c r="I82" s="551"/>
      <c r="J82" s="551"/>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3" t="str">
        <f>AI5</f>
        <v> Date</v>
      </c>
      <c r="AJ82" s="826">
        <f>AJ5</f>
        <v>39305</v>
      </c>
      <c r="AK82" s="827"/>
      <c r="AL82" s="375"/>
    </row>
    <row r="83" spans="1:38" ht="12.75">
      <c r="A83" s="375"/>
      <c r="AL83" s="375"/>
    </row>
    <row r="84" spans="1:38" ht="12.75">
      <c r="A84" s="375"/>
      <c r="AL84" s="375"/>
    </row>
    <row r="85" spans="1:38" ht="15.75">
      <c r="A85" s="375"/>
      <c r="B85" s="107"/>
      <c r="C85" s="104"/>
      <c r="D85" s="104"/>
      <c r="E85" s="104"/>
      <c r="F85" s="104"/>
      <c r="G85" s="104"/>
      <c r="H85" s="104"/>
      <c r="I85" s="104"/>
      <c r="J85" s="104"/>
      <c r="K85" s="104"/>
      <c r="L85" s="104"/>
      <c r="M85" s="104"/>
      <c r="N85" s="104"/>
      <c r="O85" s="104"/>
      <c r="P85" s="104"/>
      <c r="Q85" s="104"/>
      <c r="R85" s="104"/>
      <c r="S85" s="104"/>
      <c r="T85" s="104"/>
      <c r="U85" s="104"/>
      <c r="V85" s="104"/>
      <c r="W85" s="104"/>
      <c r="X85" s="38"/>
      <c r="Y85" s="38"/>
      <c r="AL85" s="697"/>
    </row>
    <row r="86" spans="1:38" ht="15.75">
      <c r="A86" s="375"/>
      <c r="B86" s="770" t="s">
        <v>60</v>
      </c>
      <c r="C86" s="38"/>
      <c r="D86" s="38"/>
      <c r="E86" s="38"/>
      <c r="F86" s="38"/>
      <c r="G86" s="38"/>
      <c r="H86" s="38"/>
      <c r="I86" s="38"/>
      <c r="J86" s="38"/>
      <c r="K86" s="38"/>
      <c r="L86" s="38"/>
      <c r="M86" s="38"/>
      <c r="N86" s="38"/>
      <c r="O86" s="38"/>
      <c r="P86" s="38"/>
      <c r="Q86" s="38"/>
      <c r="R86" s="38"/>
      <c r="S86" s="38"/>
      <c r="T86" s="38"/>
      <c r="U86" s="38"/>
      <c r="V86" s="38"/>
      <c r="W86" s="38"/>
      <c r="X86" s="38"/>
      <c r="Y86" s="38"/>
      <c r="AL86" s="697"/>
    </row>
    <row r="87" spans="1:38" ht="15.75">
      <c r="A87" s="375"/>
      <c r="B87" s="102" t="s">
        <v>312</v>
      </c>
      <c r="C87" s="86">
        <v>0</v>
      </c>
      <c r="D87" s="86">
        <f aca="true" t="shared" si="20" ref="D87:W87">D88-$C88</f>
        <v>0</v>
      </c>
      <c r="E87" s="86">
        <f t="shared" si="20"/>
        <v>0</v>
      </c>
      <c r="F87" s="86">
        <f t="shared" si="20"/>
        <v>0</v>
      </c>
      <c r="G87" s="86">
        <f t="shared" si="20"/>
        <v>0</v>
      </c>
      <c r="H87" s="86">
        <f t="shared" si="20"/>
        <v>0</v>
      </c>
      <c r="I87" s="86">
        <f t="shared" si="20"/>
        <v>0</v>
      </c>
      <c r="J87" s="86">
        <f t="shared" si="20"/>
        <v>0</v>
      </c>
      <c r="K87" s="86">
        <f t="shared" si="20"/>
        <v>0</v>
      </c>
      <c r="L87" s="86">
        <f t="shared" si="20"/>
        <v>0</v>
      </c>
      <c r="M87" s="86">
        <f t="shared" si="20"/>
        <v>0</v>
      </c>
      <c r="N87" s="86">
        <f t="shared" si="20"/>
        <v>0</v>
      </c>
      <c r="O87" s="86">
        <f t="shared" si="20"/>
        <v>0</v>
      </c>
      <c r="P87" s="86">
        <f t="shared" si="20"/>
        <v>0</v>
      </c>
      <c r="Q87" s="86">
        <f t="shared" si="20"/>
        <v>0</v>
      </c>
      <c r="R87" s="86">
        <f t="shared" si="20"/>
        <v>0</v>
      </c>
      <c r="S87" s="86">
        <f t="shared" si="20"/>
        <v>0</v>
      </c>
      <c r="T87" s="86">
        <f t="shared" si="20"/>
        <v>0</v>
      </c>
      <c r="U87" s="86">
        <f t="shared" si="20"/>
        <v>0</v>
      </c>
      <c r="V87" s="86">
        <f t="shared" si="20"/>
        <v>0</v>
      </c>
      <c r="W87" s="86">
        <f t="shared" si="20"/>
        <v>0</v>
      </c>
      <c r="X87" s="110">
        <f>MAIN!E22/1000</f>
        <v>0</v>
      </c>
      <c r="Y87" s="110">
        <f>W87-MAIN!F22/1000</f>
        <v>0</v>
      </c>
      <c r="AL87" s="697"/>
    </row>
    <row r="88" spans="1:38" ht="15.75">
      <c r="A88" s="375"/>
      <c r="B88" s="106" t="s">
        <v>298</v>
      </c>
      <c r="C88" s="86">
        <f>W66</f>
        <v>16.499999999999996</v>
      </c>
      <c r="D88" s="86">
        <f>C88+MAIN!$C$22/20</f>
        <v>16.499999999999996</v>
      </c>
      <c r="E88" s="86">
        <f>D88+MAIN!$C$22/20</f>
        <v>16.499999999999996</v>
      </c>
      <c r="F88" s="86">
        <f>E88+MAIN!$C$22/20</f>
        <v>16.499999999999996</v>
      </c>
      <c r="G88" s="86">
        <f>F88+MAIN!$C$22/20</f>
        <v>16.499999999999996</v>
      </c>
      <c r="H88" s="86">
        <f>G88+MAIN!$C$22/20</f>
        <v>16.499999999999996</v>
      </c>
      <c r="I88" s="86">
        <f>H88+MAIN!$C$22/20</f>
        <v>16.499999999999996</v>
      </c>
      <c r="J88" s="86">
        <f>I88+MAIN!$C$22/20</f>
        <v>16.499999999999996</v>
      </c>
      <c r="K88" s="86">
        <f>J88+MAIN!$C$22/20</f>
        <v>16.499999999999996</v>
      </c>
      <c r="L88" s="86">
        <f>K88+MAIN!$C$22/20</f>
        <v>16.499999999999996</v>
      </c>
      <c r="M88" s="86">
        <f>L88+MAIN!$C$22/20</f>
        <v>16.499999999999996</v>
      </c>
      <c r="N88" s="86">
        <f>M88+MAIN!$C$22/20</f>
        <v>16.499999999999996</v>
      </c>
      <c r="O88" s="86">
        <f>N88+MAIN!$C$22/20</f>
        <v>16.499999999999996</v>
      </c>
      <c r="P88" s="86">
        <f>O88+MAIN!$C$22/20</f>
        <v>16.499999999999996</v>
      </c>
      <c r="Q88" s="86">
        <f>P88+MAIN!$C$22/20</f>
        <v>16.499999999999996</v>
      </c>
      <c r="R88" s="86">
        <f>Q88+MAIN!$C$22/20</f>
        <v>16.499999999999996</v>
      </c>
      <c r="S88" s="86">
        <f>R88+MAIN!$C$22/20</f>
        <v>16.499999999999996</v>
      </c>
      <c r="T88" s="86">
        <f>S88+MAIN!$C$22/20</f>
        <v>16.499999999999996</v>
      </c>
      <c r="U88" s="86">
        <f>T88+MAIN!$C$22/20</f>
        <v>16.499999999999996</v>
      </c>
      <c r="V88" s="86">
        <f>U88+MAIN!$C$22/20</f>
        <v>16.499999999999996</v>
      </c>
      <c r="W88" s="86">
        <f>V88+MAIN!$C$22/20</f>
        <v>16.499999999999996</v>
      </c>
      <c r="X88" s="86"/>
      <c r="Y88" s="86"/>
      <c r="AL88" s="697"/>
    </row>
    <row r="89" spans="1:38" ht="15.75">
      <c r="A89" s="375"/>
      <c r="B89" s="106" t="s">
        <v>301</v>
      </c>
      <c r="C89" s="103">
        <f>Analysis!G106</f>
        <v>0</v>
      </c>
      <c r="D89" s="103">
        <f>-Analysis!$D253*D$87+Analysis!$F256*D$87^2/2+IF(D$87&gt;Analysis!$F259,Analysis!$G256*(D$87-Analysis!$F259),0)+IF(D$87&gt;Analysis!$H259,Analysis!$H256*(D$87-Analysis!$H259),0)+$C89</f>
        <v>0</v>
      </c>
      <c r="E89" s="103">
        <f>-Analysis!$D253*E$87+Analysis!$F256*E$87^2/2+IF(E$87&gt;Analysis!$F259,Analysis!$G256*(E$87-Analysis!$F259),0)+IF(E$87&gt;Analysis!$H259,Analysis!$H256*(E$87-Analysis!$H259),0)+$C89</f>
        <v>0</v>
      </c>
      <c r="F89" s="103">
        <f>-Analysis!$D253*F$87+Analysis!$F256*F$87^2/2+IF(F$87&gt;Analysis!$F259,Analysis!$G256*(F$87-Analysis!$F259),0)+IF(F$87&gt;Analysis!$H259,Analysis!$H256*(F$87-Analysis!$H259),0)+$C89</f>
        <v>0</v>
      </c>
      <c r="G89" s="103">
        <f>-Analysis!$D253*G$87+Analysis!$F256*G$87^2/2+IF(G$87&gt;Analysis!$F259,Analysis!$G256*(G$87-Analysis!$F259),0)+IF(G$87&gt;Analysis!$H259,Analysis!$H256*(G$87-Analysis!$H259),0)+$C89</f>
        <v>0</v>
      </c>
      <c r="H89" s="103">
        <f>-Analysis!$D253*H$87+Analysis!$F256*H$87^2/2+IF(H$87&gt;Analysis!$F259,Analysis!$G256*(H$87-Analysis!$F259),0)+IF(H$87&gt;Analysis!$H259,Analysis!$H256*(H$87-Analysis!$H259),0)+$C89</f>
        <v>0</v>
      </c>
      <c r="I89" s="103">
        <f>-Analysis!$D253*I$87+Analysis!$F256*I$87^2/2+IF(I$87&gt;Analysis!$F259,Analysis!$G256*(I$87-Analysis!$F259),0)+IF(I$87&gt;Analysis!$H259,Analysis!$H256*(I$87-Analysis!$H259),0)+$C89</f>
        <v>0</v>
      </c>
      <c r="J89" s="103">
        <f>-Analysis!$D253*J$87+Analysis!$F256*J$87^2/2+IF(J$87&gt;Analysis!$F259,Analysis!$G256*(J$87-Analysis!$F259),0)+IF(J$87&gt;Analysis!$H259,Analysis!$H256*(J$87-Analysis!$H259),0)+$C89</f>
        <v>0</v>
      </c>
      <c r="K89" s="103">
        <f>-Analysis!$D253*K$87+Analysis!$F256*K$87^2/2+IF(K$87&gt;Analysis!$F259,Analysis!$G256*(K$87-Analysis!$F259),0)+IF(K$87&gt;Analysis!$H259,Analysis!$H256*(K$87-Analysis!$H259),0)+$C89</f>
        <v>0</v>
      </c>
      <c r="L89" s="103">
        <f>-Analysis!$D253*L$87+Analysis!$F256*L$87^2/2+IF(L$87&gt;Analysis!$F259,Analysis!$G256*(L$87-Analysis!$F259),0)+IF(L$87&gt;Analysis!$H259,Analysis!$H256*(L$87-Analysis!$H259),0)+$C89</f>
        <v>0</v>
      </c>
      <c r="M89" s="103">
        <f>-Analysis!$D253*M$87+Analysis!$F256*M$87^2/2+IF(M$87&gt;Analysis!$F259,Analysis!$G256*(M$87-Analysis!$F259),0)+IF(M$87&gt;Analysis!$H259,Analysis!$H256*(M$87-Analysis!$H259),0)+$C89</f>
        <v>0</v>
      </c>
      <c r="N89" s="103">
        <f>-Analysis!$D253*N$87+Analysis!$F256*N$87^2/2+IF(N$87&gt;Analysis!$F259,Analysis!$G256*(N$87-Analysis!$F259),0)+IF(N$87&gt;Analysis!$H259,Analysis!$H256*(N$87-Analysis!$H259),0)+$C89</f>
        <v>0</v>
      </c>
      <c r="O89" s="103">
        <f>-Analysis!$D253*O$87+Analysis!$F256*O$87^2/2+IF(O$87&gt;Analysis!$F259,Analysis!$G256*(O$87-Analysis!$F259),0)+IF(O$87&gt;Analysis!$H259,Analysis!$H256*(O$87-Analysis!$H259),0)+$C89</f>
        <v>0</v>
      </c>
      <c r="P89" s="103">
        <f>-Analysis!$D253*P$87+Analysis!$F256*P$87^2/2+IF(P$87&gt;Analysis!$F259,Analysis!$G256*(P$87-Analysis!$F259),0)+IF(P$87&gt;Analysis!$H259,Analysis!$H256*(P$87-Analysis!$H259),0)+$C89</f>
        <v>0</v>
      </c>
      <c r="Q89" s="103">
        <f>-Analysis!$D253*Q$87+Analysis!$F256*Q$87^2/2+IF(Q$87&gt;Analysis!$F259,Analysis!$G256*(Q$87-Analysis!$F259),0)+IF(Q$87&gt;Analysis!$H259,Analysis!$H256*(Q$87-Analysis!$H259),0)+$C89</f>
        <v>0</v>
      </c>
      <c r="R89" s="103">
        <f>-Analysis!$D253*R$87+Analysis!$F256*R$87^2/2+IF(R$87&gt;Analysis!$F259,Analysis!$G256*(R$87-Analysis!$F259),0)+IF(R$87&gt;Analysis!$H259,Analysis!$H256*(R$87-Analysis!$H259),0)+$C89</f>
        <v>0</v>
      </c>
      <c r="S89" s="103">
        <f>-Analysis!$D253*S$87+Analysis!$F256*S$87^2/2+IF(S$87&gt;Analysis!$F259,Analysis!$G256*(S$87-Analysis!$F259),0)+IF(S$87&gt;Analysis!$H259,Analysis!$H256*(S$87-Analysis!$H259),0)+$C89</f>
        <v>0</v>
      </c>
      <c r="T89" s="103">
        <f>-Analysis!$D253*T$87+Analysis!$F256*T$87^2/2+IF(T$87&gt;Analysis!$F259,Analysis!$G256*(T$87-Analysis!$F259),0)+IF(T$87&gt;Analysis!$H259,Analysis!$H256*(T$87-Analysis!$H259),0)+$C89</f>
        <v>0</v>
      </c>
      <c r="U89" s="103">
        <f>-Analysis!$D253*U$87+Analysis!$F256*U$87^2/2+IF(U$87&gt;Analysis!$F259,Analysis!$G256*(U$87-Analysis!$F259),0)+IF(U$87&gt;Analysis!$H259,Analysis!$H256*(U$87-Analysis!$H259),0)+$C89</f>
        <v>0</v>
      </c>
      <c r="V89" s="103">
        <f>-Analysis!$D253*V$87+Analysis!$F256*V$87^2/2+IF(V$87&gt;Analysis!$F259,Analysis!$G256*(V$87-Analysis!$F259),0)+IF(V$87&gt;Analysis!$H259,Analysis!$H256*(V$87-Analysis!$H259),0)+$C89</f>
        <v>0</v>
      </c>
      <c r="W89" s="103">
        <f>Analysis!H106</f>
        <v>0</v>
      </c>
      <c r="X89" s="103">
        <f>-Analysis!$D253*X$87+Analysis!$F256*X$87^2/2+IF(X$87&gt;Analysis!$F259,Analysis!$G256*(X$87-Analysis!$F259),0)+IF(X$87&gt;Analysis!$H259,Analysis!$H256*(X$87-Analysis!$H259),0)+$C89</f>
        <v>0</v>
      </c>
      <c r="Y89" s="103">
        <f>-Analysis!$D253*Y$87+Analysis!$F256*Y$87^2/2+IF(Y$87&gt;Analysis!$F259,Analysis!$G256*(Y$87-Analysis!$F259),0)+IF(Y$87&gt;Analysis!$H259,Analysis!$H256*(Y$87-Analysis!$H259),0)+$C89</f>
        <v>0</v>
      </c>
      <c r="AL89" s="697"/>
    </row>
    <row r="90" spans="1:38" ht="15.75">
      <c r="A90" s="375"/>
      <c r="B90" s="106" t="s">
        <v>302</v>
      </c>
      <c r="C90" s="103">
        <f>Analysis!G107</f>
        <v>0</v>
      </c>
      <c r="D90" s="103">
        <f>-Analysis!$D254*D$87+Analysis!$F257*D$87^2/2+IF(D$87&gt;Analysis!$F260,Analysis!$G257*(D$87-Analysis!$F260),0)+IF(D$87&gt;Analysis!$H260,Analysis!$H257*(D$87-Analysis!$H260),0)+$C90</f>
        <v>0</v>
      </c>
      <c r="E90" s="103">
        <f>-Analysis!$D254*E$87+Analysis!$F257*E$87^2/2+IF(E$87&gt;Analysis!$F260,Analysis!$G257*(E$87-Analysis!$F260),0)+IF(E$87&gt;Analysis!$H260,Analysis!$H257*(E$87-Analysis!$H260),0)+$C90</f>
        <v>0</v>
      </c>
      <c r="F90" s="103">
        <f>-Analysis!$D254*F$87+Analysis!$F257*F$87^2/2+IF(F$87&gt;Analysis!$F260,Analysis!$G257*(F$87-Analysis!$F260),0)+IF(F$87&gt;Analysis!$H260,Analysis!$H257*(F$87-Analysis!$H260),0)+$C90</f>
        <v>0</v>
      </c>
      <c r="G90" s="103">
        <f>-Analysis!$D254*G$87+Analysis!$F257*G$87^2/2+IF(G$87&gt;Analysis!$F260,Analysis!$G257*(G$87-Analysis!$F260),0)+IF(G$87&gt;Analysis!$H260,Analysis!$H257*(G$87-Analysis!$H260),0)+$C90</f>
        <v>0</v>
      </c>
      <c r="H90" s="103">
        <f>-Analysis!$D254*H$87+Analysis!$F257*H$87^2/2+IF(H$87&gt;Analysis!$F260,Analysis!$G257*(H$87-Analysis!$F260),0)+IF(H$87&gt;Analysis!$H260,Analysis!$H257*(H$87-Analysis!$H260),0)+$C90</f>
        <v>0</v>
      </c>
      <c r="I90" s="103">
        <f>-Analysis!$D254*I$87+Analysis!$F257*I$87^2/2+IF(I$87&gt;Analysis!$F260,Analysis!$G257*(I$87-Analysis!$F260),0)+IF(I$87&gt;Analysis!$H260,Analysis!$H257*(I$87-Analysis!$H260),0)+$C90</f>
        <v>0</v>
      </c>
      <c r="J90" s="103">
        <f>-Analysis!$D254*J$87+Analysis!$F257*J$87^2/2+IF(J$87&gt;Analysis!$F260,Analysis!$G257*(J$87-Analysis!$F260),0)+IF(J$87&gt;Analysis!$H260,Analysis!$H257*(J$87-Analysis!$H260),0)+$C90</f>
        <v>0</v>
      </c>
      <c r="K90" s="103">
        <f>-Analysis!$D254*K$87+Analysis!$F257*K$87^2/2+IF(K$87&gt;Analysis!$F260,Analysis!$G257*(K$87-Analysis!$F260),0)+IF(K$87&gt;Analysis!$H260,Analysis!$H257*(K$87-Analysis!$H260),0)+$C90</f>
        <v>0</v>
      </c>
      <c r="L90" s="103">
        <f>-Analysis!$D254*L$87+Analysis!$F257*L$87^2/2+IF(L$87&gt;Analysis!$F260,Analysis!$G257*(L$87-Analysis!$F260),0)+IF(L$87&gt;Analysis!$H260,Analysis!$H257*(L$87-Analysis!$H260),0)+$C90</f>
        <v>0</v>
      </c>
      <c r="M90" s="103">
        <f>-Analysis!$D254*M$87+Analysis!$F257*M$87^2/2+IF(M$87&gt;Analysis!$F260,Analysis!$G257*(M$87-Analysis!$F260),0)+IF(M$87&gt;Analysis!$H260,Analysis!$H257*(M$87-Analysis!$H260),0)+$C90</f>
        <v>0</v>
      </c>
      <c r="N90" s="103">
        <f>-Analysis!$D254*N$87+Analysis!$F257*N$87^2/2+IF(N$87&gt;Analysis!$F260,Analysis!$G257*(N$87-Analysis!$F260),0)+IF(N$87&gt;Analysis!$H260,Analysis!$H257*(N$87-Analysis!$H260),0)+$C90</f>
        <v>0</v>
      </c>
      <c r="O90" s="103">
        <f>-Analysis!$D254*O$87+Analysis!$F257*O$87^2/2+IF(O$87&gt;Analysis!$F260,Analysis!$G257*(O$87-Analysis!$F260),0)+IF(O$87&gt;Analysis!$H260,Analysis!$H257*(O$87-Analysis!$H260),0)+$C90</f>
        <v>0</v>
      </c>
      <c r="P90" s="103">
        <f>-Analysis!$D254*P$87+Analysis!$F257*P$87^2/2+IF(P$87&gt;Analysis!$F260,Analysis!$G257*(P$87-Analysis!$F260),0)+IF(P$87&gt;Analysis!$H260,Analysis!$H257*(P$87-Analysis!$H260),0)+$C90</f>
        <v>0</v>
      </c>
      <c r="Q90" s="103">
        <f>-Analysis!$D254*Q$87+Analysis!$F257*Q$87^2/2+IF(Q$87&gt;Analysis!$F260,Analysis!$G257*(Q$87-Analysis!$F260),0)+IF(Q$87&gt;Analysis!$H260,Analysis!$H257*(Q$87-Analysis!$H260),0)+$C90</f>
        <v>0</v>
      </c>
      <c r="R90" s="103">
        <f>-Analysis!$D254*R$87+Analysis!$F257*R$87^2/2+IF(R$87&gt;Analysis!$F260,Analysis!$G257*(R$87-Analysis!$F260),0)+IF(R$87&gt;Analysis!$H260,Analysis!$H257*(R$87-Analysis!$H260),0)+$C90</f>
        <v>0</v>
      </c>
      <c r="S90" s="103">
        <f>-Analysis!$D254*S$87+Analysis!$F257*S$87^2/2+IF(S$87&gt;Analysis!$F260,Analysis!$G257*(S$87-Analysis!$F260),0)+IF(S$87&gt;Analysis!$H260,Analysis!$H257*(S$87-Analysis!$H260),0)+$C90</f>
        <v>0</v>
      </c>
      <c r="T90" s="103">
        <f>-Analysis!$D254*T$87+Analysis!$F257*T$87^2/2+IF(T$87&gt;Analysis!$F260,Analysis!$G257*(T$87-Analysis!$F260),0)+IF(T$87&gt;Analysis!$H260,Analysis!$H257*(T$87-Analysis!$H260),0)+$C90</f>
        <v>0</v>
      </c>
      <c r="U90" s="103">
        <f>-Analysis!$D254*U$87+Analysis!$F257*U$87^2/2+IF(U$87&gt;Analysis!$F260,Analysis!$G257*(U$87-Analysis!$F260),0)+IF(U$87&gt;Analysis!$H260,Analysis!$H257*(U$87-Analysis!$H260),0)+$C90</f>
        <v>0</v>
      </c>
      <c r="V90" s="103">
        <f>-Analysis!$D254*V$87+Analysis!$F257*V$87^2/2+IF(V$87&gt;Analysis!$F260,Analysis!$G257*(V$87-Analysis!$F260),0)+IF(V$87&gt;Analysis!$H260,Analysis!$H257*(V$87-Analysis!$H260),0)+$C90</f>
        <v>0</v>
      </c>
      <c r="W90" s="103">
        <f>Analysis!H107</f>
        <v>0</v>
      </c>
      <c r="X90" s="103">
        <f>-Analysis!$D254*X$87+Analysis!$F257*X$87^2/2+IF(X$87&gt;Analysis!$F260,Analysis!$G257*(X$87-Analysis!$F260),0)+IF(X$87&gt;Analysis!$H260,Analysis!$H257*(X$87-Analysis!$H260),0)+$C90</f>
        <v>0</v>
      </c>
      <c r="Y90" s="103">
        <f>-Analysis!$D254*Y$87+Analysis!$F257*Y$87^2/2+IF(Y$87&gt;Analysis!$F260,Analysis!$G257*(Y$87-Analysis!$F260),0)+IF(Y$87&gt;Analysis!$H260,Analysis!$H257*(Y$87-Analysis!$H260),0)+$C90</f>
        <v>0</v>
      </c>
      <c r="AL90" s="697"/>
    </row>
    <row r="91" spans="1:38" ht="15.75">
      <c r="A91" s="375"/>
      <c r="B91" s="107" t="s">
        <v>303</v>
      </c>
      <c r="C91" s="103">
        <f>Analysis!G108</f>
        <v>0</v>
      </c>
      <c r="D91" s="103">
        <f>-Analysis!$D255*D$87+Analysis!$F258*D$87^2/2+IF(D$87&gt;Analysis!$F261,Analysis!$G258*(D$87-Analysis!$F261),0)+IF(D$87&gt;Analysis!$H261,Analysis!$H258*(D$87-Analysis!$H261),0)+$C91</f>
        <v>0</v>
      </c>
      <c r="E91" s="103">
        <f>-Analysis!$D255*E$87+Analysis!$F258*E$87^2/2+IF(E$87&gt;Analysis!$F261,Analysis!$G258*(E$87-Analysis!$F261),0)+IF(E$87&gt;Analysis!$H261,Analysis!$H258*(E$87-Analysis!$H261),0)+$C91</f>
        <v>0</v>
      </c>
      <c r="F91" s="103">
        <f>-Analysis!$D255*F$87+Analysis!$F258*F$87^2/2+IF(F$87&gt;Analysis!$F261,Analysis!$G258*(F$87-Analysis!$F261),0)+IF(F$87&gt;Analysis!$H261,Analysis!$H258*(F$87-Analysis!$H261),0)+$C91</f>
        <v>0</v>
      </c>
      <c r="G91" s="103">
        <f>-Analysis!$D255*G$87+Analysis!$F258*G$87^2/2+IF(G$87&gt;Analysis!$F261,Analysis!$G258*(G$87-Analysis!$F261),0)+IF(G$87&gt;Analysis!$H261,Analysis!$H258*(G$87-Analysis!$H261),0)+$C91</f>
        <v>0</v>
      </c>
      <c r="H91" s="103">
        <f>-Analysis!$D255*H$87+Analysis!$F258*H$87^2/2+IF(H$87&gt;Analysis!$F261,Analysis!$G258*(H$87-Analysis!$F261),0)+IF(H$87&gt;Analysis!$H261,Analysis!$H258*(H$87-Analysis!$H261),0)+$C91</f>
        <v>0</v>
      </c>
      <c r="I91" s="103">
        <f>-Analysis!$D255*I$87+Analysis!$F258*I$87^2/2+IF(I$87&gt;Analysis!$F261,Analysis!$G258*(I$87-Analysis!$F261),0)+IF(I$87&gt;Analysis!$H261,Analysis!$H258*(I$87-Analysis!$H261),0)+$C91</f>
        <v>0</v>
      </c>
      <c r="J91" s="103">
        <f>-Analysis!$D255*J$87+Analysis!$F258*J$87^2/2+IF(J$87&gt;Analysis!$F261,Analysis!$G258*(J$87-Analysis!$F261),0)+IF(J$87&gt;Analysis!$H261,Analysis!$H258*(J$87-Analysis!$H261),0)+$C91</f>
        <v>0</v>
      </c>
      <c r="K91" s="103">
        <f>-Analysis!$D255*K$87+Analysis!$F258*K$87^2/2+IF(K$87&gt;Analysis!$F261,Analysis!$G258*(K$87-Analysis!$F261),0)+IF(K$87&gt;Analysis!$H261,Analysis!$H258*(K$87-Analysis!$H261),0)+$C91</f>
        <v>0</v>
      </c>
      <c r="L91" s="103">
        <f>-Analysis!$D255*L$87+Analysis!$F258*L$87^2/2+IF(L$87&gt;Analysis!$F261,Analysis!$G258*(L$87-Analysis!$F261),0)+IF(L$87&gt;Analysis!$H261,Analysis!$H258*(L$87-Analysis!$H261),0)+$C91</f>
        <v>0</v>
      </c>
      <c r="M91" s="103">
        <f>-Analysis!$D255*M$87+Analysis!$F258*M$87^2/2+IF(M$87&gt;Analysis!$F261,Analysis!$G258*(M$87-Analysis!$F261),0)+IF(M$87&gt;Analysis!$H261,Analysis!$H258*(M$87-Analysis!$H261),0)+$C91</f>
        <v>0</v>
      </c>
      <c r="N91" s="103">
        <f>-Analysis!$D255*N$87+Analysis!$F258*N$87^2/2+IF(N$87&gt;Analysis!$F261,Analysis!$G258*(N$87-Analysis!$F261),0)+IF(N$87&gt;Analysis!$H261,Analysis!$H258*(N$87-Analysis!$H261),0)+$C91</f>
        <v>0</v>
      </c>
      <c r="O91" s="103">
        <f>-Analysis!$D255*O$87+Analysis!$F258*O$87^2/2+IF(O$87&gt;Analysis!$F261,Analysis!$G258*(O$87-Analysis!$F261),0)+IF(O$87&gt;Analysis!$H261,Analysis!$H258*(O$87-Analysis!$H261),0)+$C91</f>
        <v>0</v>
      </c>
      <c r="P91" s="103">
        <f>-Analysis!$D255*P$87+Analysis!$F258*P$87^2/2+IF(P$87&gt;Analysis!$F261,Analysis!$G258*(P$87-Analysis!$F261),0)+IF(P$87&gt;Analysis!$H261,Analysis!$H258*(P$87-Analysis!$H261),0)+$C91</f>
        <v>0</v>
      </c>
      <c r="Q91" s="103">
        <f>-Analysis!$D255*Q$87+Analysis!$F258*Q$87^2/2+IF(Q$87&gt;Analysis!$F261,Analysis!$G258*(Q$87-Analysis!$F261),0)+IF(Q$87&gt;Analysis!$H261,Analysis!$H258*(Q$87-Analysis!$H261),0)+$C91</f>
        <v>0</v>
      </c>
      <c r="R91" s="103">
        <f>-Analysis!$D255*R$87+Analysis!$F258*R$87^2/2+IF(R$87&gt;Analysis!$F261,Analysis!$G258*(R$87-Analysis!$F261),0)+IF(R$87&gt;Analysis!$H261,Analysis!$H258*(R$87-Analysis!$H261),0)+$C91</f>
        <v>0</v>
      </c>
      <c r="S91" s="103">
        <f>-Analysis!$D255*S$87+Analysis!$F258*S$87^2/2+IF(S$87&gt;Analysis!$F261,Analysis!$G258*(S$87-Analysis!$F261),0)+IF(S$87&gt;Analysis!$H261,Analysis!$H258*(S$87-Analysis!$H261),0)+$C91</f>
        <v>0</v>
      </c>
      <c r="T91" s="103">
        <f>-Analysis!$D255*T$87+Analysis!$F258*T$87^2/2+IF(T$87&gt;Analysis!$F261,Analysis!$G258*(T$87-Analysis!$F261),0)+IF(T$87&gt;Analysis!$H261,Analysis!$H258*(T$87-Analysis!$H261),0)+$C91</f>
        <v>0</v>
      </c>
      <c r="U91" s="103">
        <f>-Analysis!$D255*U$87+Analysis!$F258*U$87^2/2+IF(U$87&gt;Analysis!$F261,Analysis!$G258*(U$87-Analysis!$F261),0)+IF(U$87&gt;Analysis!$H261,Analysis!$H258*(U$87-Analysis!$H261),0)+$C91</f>
        <v>0</v>
      </c>
      <c r="V91" s="103">
        <f>-Analysis!$D255*V$87+Analysis!$F258*V$87^2/2+IF(V$87&gt;Analysis!$F261,Analysis!$G258*(V$87-Analysis!$F261),0)+IF(V$87&gt;Analysis!$H261,Analysis!$H258*(V$87-Analysis!$H261),0)+$C91</f>
        <v>0</v>
      </c>
      <c r="W91" s="103">
        <f>Analysis!H108</f>
        <v>0</v>
      </c>
      <c r="X91" s="103">
        <f>-Analysis!$D255*X$87+Analysis!$F258*X$87^2/2+IF(X$87&gt;Analysis!$F261,Analysis!$G258*(X$87-Analysis!$F261),0)+IF(X$87&gt;Analysis!$H261,Analysis!$H258*(X$87-Analysis!$H261),0)+$C91</f>
        <v>0</v>
      </c>
      <c r="Y91" s="103">
        <f>-Analysis!$D255*Y$87+Analysis!$F258*Y$87^2/2+IF(Y$87&gt;Analysis!$F261,Analysis!$G258*(Y$87-Analysis!$F261),0)+IF(Y$87&gt;Analysis!$H261,Analysis!$H258*(Y$87-Analysis!$H261),0)+$C91</f>
        <v>0</v>
      </c>
      <c r="AL91" s="697"/>
    </row>
    <row r="92" spans="1:38" ht="15.75">
      <c r="A92" s="375"/>
      <c r="B92" s="108" t="s">
        <v>304</v>
      </c>
      <c r="C92" s="104">
        <v>0</v>
      </c>
      <c r="D92" s="104">
        <v>0</v>
      </c>
      <c r="E92" s="104">
        <v>0</v>
      </c>
      <c r="F92" s="104">
        <v>0</v>
      </c>
      <c r="G92" s="104">
        <v>0</v>
      </c>
      <c r="H92" s="104">
        <v>0</v>
      </c>
      <c r="I92" s="104">
        <v>0</v>
      </c>
      <c r="J92" s="104">
        <v>0</v>
      </c>
      <c r="K92" s="104">
        <v>0</v>
      </c>
      <c r="L92" s="104">
        <v>0</v>
      </c>
      <c r="M92" s="104">
        <v>0</v>
      </c>
      <c r="N92" s="104">
        <v>0</v>
      </c>
      <c r="O92" s="104">
        <v>0</v>
      </c>
      <c r="P92" s="104">
        <v>0</v>
      </c>
      <c r="Q92" s="104">
        <v>0</v>
      </c>
      <c r="R92" s="104">
        <v>0</v>
      </c>
      <c r="S92" s="104">
        <v>0</v>
      </c>
      <c r="T92" s="104">
        <v>0</v>
      </c>
      <c r="U92" s="104">
        <v>0</v>
      </c>
      <c r="V92" s="104">
        <v>0</v>
      </c>
      <c r="W92" s="104">
        <v>0</v>
      </c>
      <c r="X92" s="104"/>
      <c r="Y92" s="104"/>
      <c r="AL92" s="697"/>
    </row>
    <row r="93" spans="1:38" ht="15.75">
      <c r="A93" s="375"/>
      <c r="B93" s="108" t="s">
        <v>305</v>
      </c>
      <c r="C93" s="105">
        <f>Analysis!G115</f>
        <v>0</v>
      </c>
      <c r="D93" s="105">
        <f>-Analysis!$D256*D$87+Analysis!$F256*D$87^2/2+IF(D$87&gt;Analysis!$F262,Analysis!$G256*(D$87-Analysis!$F262),0)+IF(D$87&gt;Analysis!$H262,Analysis!$H256*(D$87-Analysis!$H262),0)+$C93</f>
        <v>0</v>
      </c>
      <c r="E93" s="105">
        <f>-Analysis!$D256*E$87+Analysis!$F256*E$87^2/2+IF(E$87&gt;Analysis!$F262,Analysis!$G256*(E$87-Analysis!$F262),0)+IF(E$87&gt;Analysis!$H262,Analysis!$H256*(E$87-Analysis!$H262),0)+$C93</f>
        <v>0</v>
      </c>
      <c r="F93" s="105">
        <f>-Analysis!$D256*F$87+Analysis!$F256*F$87^2/2+IF(F$87&gt;Analysis!$F262,Analysis!$G256*(F$87-Analysis!$F262),0)+IF(F$87&gt;Analysis!$H262,Analysis!$H256*(F$87-Analysis!$H262),0)+$C93</f>
        <v>0</v>
      </c>
      <c r="G93" s="105">
        <f>-Analysis!$D256*G$87+Analysis!$F256*G$87^2/2+IF(G$87&gt;Analysis!$F262,Analysis!$G256*(G$87-Analysis!$F262),0)+IF(G$87&gt;Analysis!$H262,Analysis!$H256*(G$87-Analysis!$H262),0)+$C93</f>
        <v>0</v>
      </c>
      <c r="H93" s="105">
        <f>-Analysis!$D256*H$87+Analysis!$F256*H$87^2/2+IF(H$87&gt;Analysis!$F262,Analysis!$G256*(H$87-Analysis!$F262),0)+IF(H$87&gt;Analysis!$H262,Analysis!$H256*(H$87-Analysis!$H262),0)+$C93</f>
        <v>0</v>
      </c>
      <c r="I93" s="105">
        <f>-Analysis!$D256*I$87+Analysis!$F256*I$87^2/2+IF(I$87&gt;Analysis!$F262,Analysis!$G256*(I$87-Analysis!$F262),0)+IF(I$87&gt;Analysis!$H262,Analysis!$H256*(I$87-Analysis!$H262),0)+$C93</f>
        <v>0</v>
      </c>
      <c r="J93" s="105">
        <f>-Analysis!$D256*J$87+Analysis!$F256*J$87^2/2+IF(J$87&gt;Analysis!$F262,Analysis!$G256*(J$87-Analysis!$F262),0)+IF(J$87&gt;Analysis!$H262,Analysis!$H256*(J$87-Analysis!$H262),0)+$C93</f>
        <v>0</v>
      </c>
      <c r="K93" s="105">
        <f>-Analysis!$D256*K$87+Analysis!$F256*K$87^2/2+IF(K$87&gt;Analysis!$F262,Analysis!$G256*(K$87-Analysis!$F262),0)+IF(K$87&gt;Analysis!$H262,Analysis!$H256*(K$87-Analysis!$H262),0)+$C93</f>
        <v>0</v>
      </c>
      <c r="L93" s="105">
        <f>-Analysis!$D256*L$87+Analysis!$F256*L$87^2/2+IF(L$87&gt;Analysis!$F262,Analysis!$G256*(L$87-Analysis!$F262),0)+IF(L$87&gt;Analysis!$H262,Analysis!$H256*(L$87-Analysis!$H262),0)+$C93</f>
        <v>0</v>
      </c>
      <c r="M93" s="105">
        <f>-Analysis!$D256*M$87+Analysis!$F256*M$87^2/2+IF(M$87&gt;Analysis!$F262,Analysis!$G256*(M$87-Analysis!$F262),0)+IF(M$87&gt;Analysis!$H262,Analysis!$H256*(M$87-Analysis!$H262),0)+$C93</f>
        <v>0</v>
      </c>
      <c r="N93" s="105">
        <f>-Analysis!$D256*N$87+Analysis!$F256*N$87^2/2+IF(N$87&gt;Analysis!$F262,Analysis!$G256*(N$87-Analysis!$F262),0)+IF(N$87&gt;Analysis!$H262,Analysis!$H256*(N$87-Analysis!$H262),0)+$C93</f>
        <v>0</v>
      </c>
      <c r="O93" s="105">
        <f>-Analysis!$D256*O$87+Analysis!$F256*O$87^2/2+IF(O$87&gt;Analysis!$F262,Analysis!$G256*(O$87-Analysis!$F262),0)+IF(O$87&gt;Analysis!$H262,Analysis!$H256*(O$87-Analysis!$H262),0)+$C93</f>
        <v>0</v>
      </c>
      <c r="P93" s="105">
        <f>-Analysis!$D256*P$87+Analysis!$F256*P$87^2/2+IF(P$87&gt;Analysis!$F262,Analysis!$G256*(P$87-Analysis!$F262),0)+IF(P$87&gt;Analysis!$H262,Analysis!$H256*(P$87-Analysis!$H262),0)+$C93</f>
        <v>0</v>
      </c>
      <c r="Q93" s="105">
        <f>-Analysis!$D256*Q$87+Analysis!$F256*Q$87^2/2+IF(Q$87&gt;Analysis!$F262,Analysis!$G256*(Q$87-Analysis!$F262),0)+IF(Q$87&gt;Analysis!$H262,Analysis!$H256*(Q$87-Analysis!$H262),0)+$C93</f>
        <v>0</v>
      </c>
      <c r="R93" s="105">
        <f>-Analysis!$D256*R$87+Analysis!$F256*R$87^2/2+IF(R$87&gt;Analysis!$F262,Analysis!$G256*(R$87-Analysis!$F262),0)+IF(R$87&gt;Analysis!$H262,Analysis!$H256*(R$87-Analysis!$H262),0)+$C93</f>
        <v>0</v>
      </c>
      <c r="S93" s="105">
        <f>-Analysis!$D256*S$87+Analysis!$F256*S$87^2/2+IF(S$87&gt;Analysis!$F262,Analysis!$G256*(S$87-Analysis!$F262),0)+IF(S$87&gt;Analysis!$H262,Analysis!$H256*(S$87-Analysis!$H262),0)+$C93</f>
        <v>0</v>
      </c>
      <c r="T93" s="105">
        <f>-Analysis!$D256*T$87+Analysis!$F256*T$87^2/2+IF(T$87&gt;Analysis!$F262,Analysis!$G256*(T$87-Analysis!$F262),0)+IF(T$87&gt;Analysis!$H262,Analysis!$H256*(T$87-Analysis!$H262),0)+$C93</f>
        <v>0</v>
      </c>
      <c r="U93" s="105">
        <f>-Analysis!$D256*U$87+Analysis!$F256*U$87^2/2+IF(U$87&gt;Analysis!$F262,Analysis!$G256*(U$87-Analysis!$F262),0)+IF(U$87&gt;Analysis!$H262,Analysis!$H256*(U$87-Analysis!$H262),0)+$C93</f>
        <v>0</v>
      </c>
      <c r="V93" s="105">
        <f>-Analysis!$D256*V$87+Analysis!$F256*V$87^2/2+IF(V$87&gt;Analysis!$F262,Analysis!$G256*(V$87-Analysis!$F262),0)+IF(V$87&gt;Analysis!$H262,Analysis!$H256*(V$87-Analysis!$H262),0)+$C93</f>
        <v>0</v>
      </c>
      <c r="W93" s="105">
        <f>Analysis!H115</f>
        <v>0</v>
      </c>
      <c r="X93" s="105">
        <f>-Analysis!$D256*X$87+Analysis!$F256*X$87^2/2+IF(X$87&gt;Analysis!$F262,Analysis!$G256*(X$87-Analysis!$F262),0)+IF(X$87&gt;Analysis!$H262,Analysis!$H256*(X$87-Analysis!$H262),0)+$C93</f>
        <v>0</v>
      </c>
      <c r="Y93" s="105">
        <f>-Analysis!$D256*Y$87+Analysis!$F256*Y$87^2/2+IF(Y$87&gt;Analysis!$F262,Analysis!$G256*(Y$87-Analysis!$F262),0)+IF(Y$87&gt;Analysis!$H262,Analysis!$H256*(Y$87-Analysis!$H262),0)+$C93</f>
        <v>0</v>
      </c>
      <c r="AL93" s="697"/>
    </row>
    <row r="94" spans="1:38" ht="15.75">
      <c r="A94" s="375"/>
      <c r="B94" s="108" t="s">
        <v>306</v>
      </c>
      <c r="C94" s="105">
        <f>Analysis!G116</f>
        <v>0</v>
      </c>
      <c r="D94" s="105">
        <f>-Analysis!$D257*D$87+Analysis!$F257*D$87^2/2+IF(D$87&gt;Analysis!$F263,Analysis!$G257*(D$87-Analysis!$F263),0)+IF(D$87&gt;Analysis!$H263,Analysis!$H257*(D$87-Analysis!$H263),0)+$C94</f>
        <v>0</v>
      </c>
      <c r="E94" s="105">
        <f>-Analysis!$D257*E$87+Analysis!$F257*E$87^2/2+IF(E$87&gt;Analysis!$F263,Analysis!$G257*(E$87-Analysis!$F263),0)+IF(E$87&gt;Analysis!$H263,Analysis!$H257*(E$87-Analysis!$H263),0)+$C94</f>
        <v>0</v>
      </c>
      <c r="F94" s="105">
        <f>-Analysis!$D257*F$87+Analysis!$F257*F$87^2/2+IF(F$87&gt;Analysis!$F263,Analysis!$G257*(F$87-Analysis!$F263),0)+IF(F$87&gt;Analysis!$H263,Analysis!$H257*(F$87-Analysis!$H263),0)+$C94</f>
        <v>0</v>
      </c>
      <c r="G94" s="105">
        <f>-Analysis!$D257*G$87+Analysis!$F257*G$87^2/2+IF(G$87&gt;Analysis!$F263,Analysis!$G257*(G$87-Analysis!$F263),0)+IF(G$87&gt;Analysis!$H263,Analysis!$H257*(G$87-Analysis!$H263),0)+$C94</f>
        <v>0</v>
      </c>
      <c r="H94" s="105">
        <f>-Analysis!$D257*H$87+Analysis!$F257*H$87^2/2+IF(H$87&gt;Analysis!$F263,Analysis!$G257*(H$87-Analysis!$F263),0)+IF(H$87&gt;Analysis!$H263,Analysis!$H257*(H$87-Analysis!$H263),0)+$C94</f>
        <v>0</v>
      </c>
      <c r="I94" s="105">
        <f>-Analysis!$D257*I$87+Analysis!$F257*I$87^2/2+IF(I$87&gt;Analysis!$F263,Analysis!$G257*(I$87-Analysis!$F263),0)+IF(I$87&gt;Analysis!$H263,Analysis!$H257*(I$87-Analysis!$H263),0)+$C94</f>
        <v>0</v>
      </c>
      <c r="J94" s="105">
        <f>-Analysis!$D257*J$87+Analysis!$F257*J$87^2/2+IF(J$87&gt;Analysis!$F263,Analysis!$G257*(J$87-Analysis!$F263),0)+IF(J$87&gt;Analysis!$H263,Analysis!$H257*(J$87-Analysis!$H263),0)+$C94</f>
        <v>0</v>
      </c>
      <c r="K94" s="105">
        <f>-Analysis!$D257*K$87+Analysis!$F257*K$87^2/2+IF(K$87&gt;Analysis!$F263,Analysis!$G257*(K$87-Analysis!$F263),0)+IF(K$87&gt;Analysis!$H263,Analysis!$H257*(K$87-Analysis!$H263),0)+$C94</f>
        <v>0</v>
      </c>
      <c r="L94" s="105">
        <f>-Analysis!$D257*L$87+Analysis!$F257*L$87^2/2+IF(L$87&gt;Analysis!$F263,Analysis!$G257*(L$87-Analysis!$F263),0)+IF(L$87&gt;Analysis!$H263,Analysis!$H257*(L$87-Analysis!$H263),0)+$C94</f>
        <v>0</v>
      </c>
      <c r="M94" s="105">
        <f>-Analysis!$D257*M$87+Analysis!$F257*M$87^2/2+IF(M$87&gt;Analysis!$F263,Analysis!$G257*(M$87-Analysis!$F263),0)+IF(M$87&gt;Analysis!$H263,Analysis!$H257*(M$87-Analysis!$H263),0)+$C94</f>
        <v>0</v>
      </c>
      <c r="N94" s="105">
        <f>-Analysis!$D257*N$87+Analysis!$F257*N$87^2/2+IF(N$87&gt;Analysis!$F263,Analysis!$G257*(N$87-Analysis!$F263),0)+IF(N$87&gt;Analysis!$H263,Analysis!$H257*(N$87-Analysis!$H263),0)+$C94</f>
        <v>0</v>
      </c>
      <c r="O94" s="105">
        <f>-Analysis!$D257*O$87+Analysis!$F257*O$87^2/2+IF(O$87&gt;Analysis!$F263,Analysis!$G257*(O$87-Analysis!$F263),0)+IF(O$87&gt;Analysis!$H263,Analysis!$H257*(O$87-Analysis!$H263),0)+$C94</f>
        <v>0</v>
      </c>
      <c r="P94" s="105">
        <f>-Analysis!$D257*P$87+Analysis!$F257*P$87^2/2+IF(P$87&gt;Analysis!$F263,Analysis!$G257*(P$87-Analysis!$F263),0)+IF(P$87&gt;Analysis!$H263,Analysis!$H257*(P$87-Analysis!$H263),0)+$C94</f>
        <v>0</v>
      </c>
      <c r="Q94" s="105">
        <f>-Analysis!$D257*Q$87+Analysis!$F257*Q$87^2/2+IF(Q$87&gt;Analysis!$F263,Analysis!$G257*(Q$87-Analysis!$F263),0)+IF(Q$87&gt;Analysis!$H263,Analysis!$H257*(Q$87-Analysis!$H263),0)+$C94</f>
        <v>0</v>
      </c>
      <c r="R94" s="105">
        <f>-Analysis!$D257*R$87+Analysis!$F257*R$87^2/2+IF(R$87&gt;Analysis!$F263,Analysis!$G257*(R$87-Analysis!$F263),0)+IF(R$87&gt;Analysis!$H263,Analysis!$H257*(R$87-Analysis!$H263),0)+$C94</f>
        <v>0</v>
      </c>
      <c r="S94" s="105">
        <f>-Analysis!$D257*S$87+Analysis!$F257*S$87^2/2+IF(S$87&gt;Analysis!$F263,Analysis!$G257*(S$87-Analysis!$F263),0)+IF(S$87&gt;Analysis!$H263,Analysis!$H257*(S$87-Analysis!$H263),0)+$C94</f>
        <v>0</v>
      </c>
      <c r="T94" s="105">
        <f>-Analysis!$D257*T$87+Analysis!$F257*T$87^2/2+IF(T$87&gt;Analysis!$F263,Analysis!$G257*(T$87-Analysis!$F263),0)+IF(T$87&gt;Analysis!$H263,Analysis!$H257*(T$87-Analysis!$H263),0)+$C94</f>
        <v>0</v>
      </c>
      <c r="U94" s="105">
        <f>-Analysis!$D257*U$87+Analysis!$F257*U$87^2/2+IF(U$87&gt;Analysis!$F263,Analysis!$G257*(U$87-Analysis!$F263),0)+IF(U$87&gt;Analysis!$H263,Analysis!$H257*(U$87-Analysis!$H263),0)+$C94</f>
        <v>0</v>
      </c>
      <c r="V94" s="105">
        <f>-Analysis!$D257*V$87+Analysis!$F257*V$87^2/2+IF(V$87&gt;Analysis!$F263,Analysis!$G257*(V$87-Analysis!$F263),0)+IF(V$87&gt;Analysis!$H263,Analysis!$H257*(V$87-Analysis!$H263),0)+$C94</f>
        <v>0</v>
      </c>
      <c r="W94" s="105">
        <f>Analysis!H116</f>
        <v>0</v>
      </c>
      <c r="X94" s="105">
        <f>-Analysis!$D257*X$87+Analysis!$F257*X$87^2/2+IF(X$87&gt;Analysis!$F263,Analysis!$G257*(X$87-Analysis!$F263),0)+IF(X$87&gt;Analysis!$H263,Analysis!$H257*(X$87-Analysis!$H263),0)+$C94</f>
        <v>0</v>
      </c>
      <c r="Y94" s="105">
        <f>-Analysis!$D257*Y$87+Analysis!$F257*Y$87^2/2+IF(Y$87&gt;Analysis!$F263,Analysis!$G257*(Y$87-Analysis!$F263),0)+IF(Y$87&gt;Analysis!$H263,Analysis!$H257*(Y$87-Analysis!$H263),0)+$C94</f>
        <v>0</v>
      </c>
      <c r="AL94" s="697"/>
    </row>
    <row r="95" spans="1:38" ht="15.75">
      <c r="A95" s="375"/>
      <c r="B95" s="111" t="s">
        <v>307</v>
      </c>
      <c r="C95" s="105">
        <f>Analysis!G117</f>
        <v>0</v>
      </c>
      <c r="D95" s="105">
        <f>-Analysis!$D258*D$87+Analysis!$F258*D$87^2/2+IF(D$87&gt;Analysis!$F264,Analysis!$G258*(D$87-Analysis!$F264),0)+IF(D$87&gt;Analysis!$H264,Analysis!$H258*(D$87-Analysis!$H264),0)+$C95</f>
        <v>0</v>
      </c>
      <c r="E95" s="105">
        <f>-Analysis!$D258*E$87+Analysis!$F258*E$87^2/2+IF(E$87&gt;Analysis!$F264,Analysis!$G258*(E$87-Analysis!$F264),0)+IF(E$87&gt;Analysis!$H264,Analysis!$H258*(E$87-Analysis!$H264),0)+$C95</f>
        <v>0</v>
      </c>
      <c r="F95" s="105">
        <f>-Analysis!$D258*F$87+Analysis!$F258*F$87^2/2+IF(F$87&gt;Analysis!$F264,Analysis!$G258*(F$87-Analysis!$F264),0)+IF(F$87&gt;Analysis!$H264,Analysis!$H258*(F$87-Analysis!$H264),0)+$C95</f>
        <v>0</v>
      </c>
      <c r="G95" s="105">
        <f>-Analysis!$D258*G$87+Analysis!$F258*G$87^2/2+IF(G$87&gt;Analysis!$F264,Analysis!$G258*(G$87-Analysis!$F264),0)+IF(G$87&gt;Analysis!$H264,Analysis!$H258*(G$87-Analysis!$H264),0)+$C95</f>
        <v>0</v>
      </c>
      <c r="H95" s="105">
        <f>-Analysis!$D258*H$87+Analysis!$F258*H$87^2/2+IF(H$87&gt;Analysis!$F264,Analysis!$G258*(H$87-Analysis!$F264),0)+IF(H$87&gt;Analysis!$H264,Analysis!$H258*(H$87-Analysis!$H264),0)+$C95</f>
        <v>0</v>
      </c>
      <c r="I95" s="105">
        <f>-Analysis!$D258*I$87+Analysis!$F258*I$87^2/2+IF(I$87&gt;Analysis!$F264,Analysis!$G258*(I$87-Analysis!$F264),0)+IF(I$87&gt;Analysis!$H264,Analysis!$H258*(I$87-Analysis!$H264),0)+$C95</f>
        <v>0</v>
      </c>
      <c r="J95" s="105">
        <f>-Analysis!$D258*J$87+Analysis!$F258*J$87^2/2+IF(J$87&gt;Analysis!$F264,Analysis!$G258*(J$87-Analysis!$F264),0)+IF(J$87&gt;Analysis!$H264,Analysis!$H258*(J$87-Analysis!$H264),0)+$C95</f>
        <v>0</v>
      </c>
      <c r="K95" s="105">
        <f>-Analysis!$D258*K$87+Analysis!$F258*K$87^2/2+IF(K$87&gt;Analysis!$F264,Analysis!$G258*(K$87-Analysis!$F264),0)+IF(K$87&gt;Analysis!$H264,Analysis!$H258*(K$87-Analysis!$H264),0)+$C95</f>
        <v>0</v>
      </c>
      <c r="L95" s="105">
        <f>-Analysis!$D258*L$87+Analysis!$F258*L$87^2/2+IF(L$87&gt;Analysis!$F264,Analysis!$G258*(L$87-Analysis!$F264),0)+IF(L$87&gt;Analysis!$H264,Analysis!$H258*(L$87-Analysis!$H264),0)+$C95</f>
        <v>0</v>
      </c>
      <c r="M95" s="105">
        <f>-Analysis!$D258*M$87+Analysis!$F258*M$87^2/2+IF(M$87&gt;Analysis!$F264,Analysis!$G258*(M$87-Analysis!$F264),0)+IF(M$87&gt;Analysis!$H264,Analysis!$H258*(M$87-Analysis!$H264),0)+$C95</f>
        <v>0</v>
      </c>
      <c r="N95" s="105">
        <f>-Analysis!$D258*N$87+Analysis!$F258*N$87^2/2+IF(N$87&gt;Analysis!$F264,Analysis!$G258*(N$87-Analysis!$F264),0)+IF(N$87&gt;Analysis!$H264,Analysis!$H258*(N$87-Analysis!$H264),0)+$C95</f>
        <v>0</v>
      </c>
      <c r="O95" s="105">
        <f>-Analysis!$D258*O$87+Analysis!$F258*O$87^2/2+IF(O$87&gt;Analysis!$F264,Analysis!$G258*(O$87-Analysis!$F264),0)+IF(O$87&gt;Analysis!$H264,Analysis!$H258*(O$87-Analysis!$H264),0)+$C95</f>
        <v>0</v>
      </c>
      <c r="P95" s="105">
        <f>-Analysis!$D258*P$87+Analysis!$F258*P$87^2/2+IF(P$87&gt;Analysis!$F264,Analysis!$G258*(P$87-Analysis!$F264),0)+IF(P$87&gt;Analysis!$H264,Analysis!$H258*(P$87-Analysis!$H264),0)+$C95</f>
        <v>0</v>
      </c>
      <c r="Q95" s="105">
        <f>-Analysis!$D258*Q$87+Analysis!$F258*Q$87^2/2+IF(Q$87&gt;Analysis!$F264,Analysis!$G258*(Q$87-Analysis!$F264),0)+IF(Q$87&gt;Analysis!$H264,Analysis!$H258*(Q$87-Analysis!$H264),0)+$C95</f>
        <v>0</v>
      </c>
      <c r="R95" s="105">
        <f>-Analysis!$D258*R$87+Analysis!$F258*R$87^2/2+IF(R$87&gt;Analysis!$F264,Analysis!$G258*(R$87-Analysis!$F264),0)+IF(R$87&gt;Analysis!$H264,Analysis!$H258*(R$87-Analysis!$H264),0)+$C95</f>
        <v>0</v>
      </c>
      <c r="S95" s="105">
        <f>-Analysis!$D258*S$87+Analysis!$F258*S$87^2/2+IF(S$87&gt;Analysis!$F264,Analysis!$G258*(S$87-Analysis!$F264),0)+IF(S$87&gt;Analysis!$H264,Analysis!$H258*(S$87-Analysis!$H264),0)+$C95</f>
        <v>0</v>
      </c>
      <c r="T95" s="105">
        <f>-Analysis!$D258*T$87+Analysis!$F258*T$87^2/2+IF(T$87&gt;Analysis!$F264,Analysis!$G258*(T$87-Analysis!$F264),0)+IF(T$87&gt;Analysis!$H264,Analysis!$H258*(T$87-Analysis!$H264),0)+$C95</f>
        <v>0</v>
      </c>
      <c r="U95" s="105">
        <f>-Analysis!$D258*U$87+Analysis!$F258*U$87^2/2+IF(U$87&gt;Analysis!$F264,Analysis!$G258*(U$87-Analysis!$F264),0)+IF(U$87&gt;Analysis!$H264,Analysis!$H258*(U$87-Analysis!$H264),0)+$C95</f>
        <v>0</v>
      </c>
      <c r="V95" s="105">
        <f>-Analysis!$D258*V$87+Analysis!$F258*V$87^2/2+IF(V$87&gt;Analysis!$F264,Analysis!$G258*(V$87-Analysis!$F264),0)+IF(V$87&gt;Analysis!$H264,Analysis!$H258*(V$87-Analysis!$H264),0)+$C95</f>
        <v>0</v>
      </c>
      <c r="W95" s="105">
        <f>Analysis!H117</f>
        <v>0</v>
      </c>
      <c r="X95" s="105">
        <f>-Analysis!$D258*X$87+Analysis!$F258*X$87^2/2+IF(X$87&gt;Analysis!$F264,Analysis!$G258*(X$87-Analysis!$F264),0)+IF(X$87&gt;Analysis!$H264,Analysis!$H258*(X$87-Analysis!$H264),0)+$C95</f>
        <v>0</v>
      </c>
      <c r="Y95" s="105">
        <f>-Analysis!$D258*Y$87+Analysis!$F258*Y$87^2/2+IF(Y$87&gt;Analysis!$F264,Analysis!$G258*(Y$87-Analysis!$F264),0)+IF(Y$87&gt;Analysis!$H264,Analysis!$H258*(Y$87-Analysis!$H264),0)+$C95</f>
        <v>0</v>
      </c>
      <c r="AL95" s="697"/>
    </row>
    <row r="96" spans="1:38" ht="15.75">
      <c r="A96" s="375"/>
      <c r="B96" s="111" t="s">
        <v>308</v>
      </c>
      <c r="C96" s="116">
        <f aca="true" t="shared" si="21" ref="C96:Y96">0.7*MAX(C89:C91)</f>
        <v>0</v>
      </c>
      <c r="D96" s="116">
        <f t="shared" si="21"/>
        <v>0</v>
      </c>
      <c r="E96" s="116">
        <f t="shared" si="21"/>
        <v>0</v>
      </c>
      <c r="F96" s="116">
        <f t="shared" si="21"/>
        <v>0</v>
      </c>
      <c r="G96" s="116">
        <f t="shared" si="21"/>
        <v>0</v>
      </c>
      <c r="H96" s="116">
        <f t="shared" si="21"/>
        <v>0</v>
      </c>
      <c r="I96" s="116">
        <f t="shared" si="21"/>
        <v>0</v>
      </c>
      <c r="J96" s="116">
        <f t="shared" si="21"/>
        <v>0</v>
      </c>
      <c r="K96" s="116">
        <f t="shared" si="21"/>
        <v>0</v>
      </c>
      <c r="L96" s="116">
        <f t="shared" si="21"/>
        <v>0</v>
      </c>
      <c r="M96" s="116">
        <f t="shared" si="21"/>
        <v>0</v>
      </c>
      <c r="N96" s="116">
        <f t="shared" si="21"/>
        <v>0</v>
      </c>
      <c r="O96" s="116">
        <f t="shared" si="21"/>
        <v>0</v>
      </c>
      <c r="P96" s="116">
        <f t="shared" si="21"/>
        <v>0</v>
      </c>
      <c r="Q96" s="116">
        <f t="shared" si="21"/>
        <v>0</v>
      </c>
      <c r="R96" s="116">
        <f t="shared" si="21"/>
        <v>0</v>
      </c>
      <c r="S96" s="116">
        <f t="shared" si="21"/>
        <v>0</v>
      </c>
      <c r="T96" s="116">
        <f t="shared" si="21"/>
        <v>0</v>
      </c>
      <c r="U96" s="116">
        <f t="shared" si="21"/>
        <v>0</v>
      </c>
      <c r="V96" s="116">
        <f t="shared" si="21"/>
        <v>0</v>
      </c>
      <c r="W96" s="116">
        <f t="shared" si="21"/>
        <v>0</v>
      </c>
      <c r="X96" s="116">
        <f t="shared" si="21"/>
        <v>0</v>
      </c>
      <c r="Y96" s="116">
        <f t="shared" si="21"/>
        <v>0</v>
      </c>
      <c r="AL96" s="697"/>
    </row>
    <row r="97" spans="1:38" ht="15.75">
      <c r="A97" s="375"/>
      <c r="B97" s="113" t="s">
        <v>309</v>
      </c>
      <c r="C97" s="116">
        <f aca="true" t="shared" si="22" ref="C97:Y97">0.7*MIN(C89:C91)</f>
        <v>0</v>
      </c>
      <c r="D97" s="116">
        <f t="shared" si="22"/>
        <v>0</v>
      </c>
      <c r="E97" s="116">
        <f t="shared" si="22"/>
        <v>0</v>
      </c>
      <c r="F97" s="116">
        <f t="shared" si="22"/>
        <v>0</v>
      </c>
      <c r="G97" s="116">
        <f t="shared" si="22"/>
        <v>0</v>
      </c>
      <c r="H97" s="116">
        <f t="shared" si="22"/>
        <v>0</v>
      </c>
      <c r="I97" s="116">
        <f t="shared" si="22"/>
        <v>0</v>
      </c>
      <c r="J97" s="116">
        <f t="shared" si="22"/>
        <v>0</v>
      </c>
      <c r="K97" s="116">
        <f t="shared" si="22"/>
        <v>0</v>
      </c>
      <c r="L97" s="116">
        <f t="shared" si="22"/>
        <v>0</v>
      </c>
      <c r="M97" s="116">
        <f t="shared" si="22"/>
        <v>0</v>
      </c>
      <c r="N97" s="116">
        <f t="shared" si="22"/>
        <v>0</v>
      </c>
      <c r="O97" s="116">
        <f t="shared" si="22"/>
        <v>0</v>
      </c>
      <c r="P97" s="116">
        <f t="shared" si="22"/>
        <v>0</v>
      </c>
      <c r="Q97" s="116">
        <f t="shared" si="22"/>
        <v>0</v>
      </c>
      <c r="R97" s="116">
        <f t="shared" si="22"/>
        <v>0</v>
      </c>
      <c r="S97" s="116">
        <f t="shared" si="22"/>
        <v>0</v>
      </c>
      <c r="T97" s="116">
        <f t="shared" si="22"/>
        <v>0</v>
      </c>
      <c r="U97" s="116">
        <f t="shared" si="22"/>
        <v>0</v>
      </c>
      <c r="V97" s="116">
        <f t="shared" si="22"/>
        <v>0</v>
      </c>
      <c r="W97" s="116">
        <f t="shared" si="22"/>
        <v>0</v>
      </c>
      <c r="X97" s="116">
        <f t="shared" si="22"/>
        <v>0</v>
      </c>
      <c r="Y97" s="116">
        <f t="shared" si="22"/>
        <v>0</v>
      </c>
      <c r="AL97" s="697"/>
    </row>
    <row r="98" spans="1:38" ht="15.75">
      <c r="A98" s="375"/>
      <c r="B98" s="113" t="s">
        <v>310</v>
      </c>
      <c r="C98" s="114">
        <f aca="true" t="shared" si="23" ref="C98:W98">MIN(C93:C97,0)</f>
        <v>0</v>
      </c>
      <c r="D98" s="114">
        <f t="shared" si="23"/>
        <v>0</v>
      </c>
      <c r="E98" s="114">
        <f t="shared" si="23"/>
        <v>0</v>
      </c>
      <c r="F98" s="114">
        <f t="shared" si="23"/>
        <v>0</v>
      </c>
      <c r="G98" s="114">
        <f t="shared" si="23"/>
        <v>0</v>
      </c>
      <c r="H98" s="114">
        <f t="shared" si="23"/>
        <v>0</v>
      </c>
      <c r="I98" s="114">
        <f t="shared" si="23"/>
        <v>0</v>
      </c>
      <c r="J98" s="114">
        <f t="shared" si="23"/>
        <v>0</v>
      </c>
      <c r="K98" s="114">
        <f t="shared" si="23"/>
        <v>0</v>
      </c>
      <c r="L98" s="114">
        <f t="shared" si="23"/>
        <v>0</v>
      </c>
      <c r="M98" s="114">
        <f t="shared" si="23"/>
        <v>0</v>
      </c>
      <c r="N98" s="114">
        <f t="shared" si="23"/>
        <v>0</v>
      </c>
      <c r="O98" s="114">
        <f t="shared" si="23"/>
        <v>0</v>
      </c>
      <c r="P98" s="114">
        <f t="shared" si="23"/>
        <v>0</v>
      </c>
      <c r="Q98" s="114">
        <f t="shared" si="23"/>
        <v>0</v>
      </c>
      <c r="R98" s="114">
        <f t="shared" si="23"/>
        <v>0</v>
      </c>
      <c r="S98" s="114">
        <f t="shared" si="23"/>
        <v>0</v>
      </c>
      <c r="T98" s="114">
        <f t="shared" si="23"/>
        <v>0</v>
      </c>
      <c r="U98" s="114">
        <f t="shared" si="23"/>
        <v>0</v>
      </c>
      <c r="V98" s="114">
        <f t="shared" si="23"/>
        <v>0</v>
      </c>
      <c r="W98" s="114">
        <f t="shared" si="23"/>
        <v>0</v>
      </c>
      <c r="X98" s="114"/>
      <c r="Y98" s="114"/>
      <c r="AL98" s="697"/>
    </row>
    <row r="99" spans="1:38" ht="15.75">
      <c r="A99" s="375"/>
      <c r="B99" s="107" t="s">
        <v>311</v>
      </c>
      <c r="C99" s="114">
        <f aca="true" t="shared" si="24" ref="C99:Y99">MAX(C93:C97,0)</f>
        <v>0</v>
      </c>
      <c r="D99" s="114">
        <f t="shared" si="24"/>
        <v>0</v>
      </c>
      <c r="E99" s="114">
        <f t="shared" si="24"/>
        <v>0</v>
      </c>
      <c r="F99" s="114">
        <f t="shared" si="24"/>
        <v>0</v>
      </c>
      <c r="G99" s="114">
        <f t="shared" si="24"/>
        <v>0</v>
      </c>
      <c r="H99" s="115">
        <f t="shared" si="24"/>
        <v>0</v>
      </c>
      <c r="I99" s="114">
        <f t="shared" si="24"/>
        <v>0</v>
      </c>
      <c r="J99" s="114">
        <f t="shared" si="24"/>
        <v>0</v>
      </c>
      <c r="K99" s="114">
        <f t="shared" si="24"/>
        <v>0</v>
      </c>
      <c r="L99" s="114">
        <f t="shared" si="24"/>
        <v>0</v>
      </c>
      <c r="M99" s="114">
        <f t="shared" si="24"/>
        <v>0</v>
      </c>
      <c r="N99" s="114">
        <f t="shared" si="24"/>
        <v>0</v>
      </c>
      <c r="O99" s="114">
        <f t="shared" si="24"/>
        <v>0</v>
      </c>
      <c r="P99" s="114">
        <f t="shared" si="24"/>
        <v>0</v>
      </c>
      <c r="Q99" s="114">
        <f t="shared" si="24"/>
        <v>0</v>
      </c>
      <c r="R99" s="115">
        <f t="shared" si="24"/>
        <v>0</v>
      </c>
      <c r="S99" s="114">
        <f t="shared" si="24"/>
        <v>0</v>
      </c>
      <c r="T99" s="114">
        <f t="shared" si="24"/>
        <v>0</v>
      </c>
      <c r="U99" s="114">
        <f t="shared" si="24"/>
        <v>0</v>
      </c>
      <c r="V99" s="114">
        <f t="shared" si="24"/>
        <v>0</v>
      </c>
      <c r="W99" s="114">
        <f t="shared" si="24"/>
        <v>0</v>
      </c>
      <c r="X99" s="114">
        <f t="shared" si="24"/>
        <v>0</v>
      </c>
      <c r="Y99" s="114">
        <f t="shared" si="24"/>
        <v>0</v>
      </c>
      <c r="AL99" s="697"/>
    </row>
    <row r="100" spans="1:38" ht="15.75">
      <c r="A100" s="375"/>
      <c r="B100" s="107" t="s">
        <v>304</v>
      </c>
      <c r="C100" s="104">
        <v>0</v>
      </c>
      <c r="D100" s="104">
        <v>0</v>
      </c>
      <c r="E100" s="104">
        <v>0</v>
      </c>
      <c r="F100" s="104">
        <v>0</v>
      </c>
      <c r="G100" s="104">
        <v>0</v>
      </c>
      <c r="H100" s="104">
        <v>0</v>
      </c>
      <c r="I100" s="104">
        <v>0</v>
      </c>
      <c r="J100" s="104">
        <v>0</v>
      </c>
      <c r="K100" s="104">
        <v>0</v>
      </c>
      <c r="L100" s="104">
        <v>0</v>
      </c>
      <c r="M100" s="104">
        <v>0</v>
      </c>
      <c r="N100" s="104">
        <v>0</v>
      </c>
      <c r="O100" s="104">
        <v>0</v>
      </c>
      <c r="P100" s="104">
        <v>0</v>
      </c>
      <c r="Q100" s="104">
        <v>0</v>
      </c>
      <c r="R100" s="104">
        <v>0</v>
      </c>
      <c r="S100" s="104">
        <v>0</v>
      </c>
      <c r="T100" s="104">
        <v>0</v>
      </c>
      <c r="U100" s="104">
        <v>0</v>
      </c>
      <c r="V100" s="104">
        <v>0</v>
      </c>
      <c r="W100" s="104">
        <v>0</v>
      </c>
      <c r="X100" s="38"/>
      <c r="Y100" s="38"/>
      <c r="AL100" s="697"/>
    </row>
    <row r="101" spans="1:38" ht="15.75">
      <c r="A101" s="375"/>
      <c r="B101" s="770" t="s">
        <v>62</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AL101" s="697"/>
    </row>
    <row r="102" spans="1:38" ht="15.75">
      <c r="A102" s="375"/>
      <c r="B102" s="102" t="s">
        <v>312</v>
      </c>
      <c r="C102" s="86">
        <v>0</v>
      </c>
      <c r="D102" s="86">
        <f aca="true" t="shared" si="25" ref="D102:W102">D103-$C103</f>
        <v>0</v>
      </c>
      <c r="E102" s="86">
        <f t="shared" si="25"/>
        <v>0</v>
      </c>
      <c r="F102" s="86">
        <f t="shared" si="25"/>
        <v>0</v>
      </c>
      <c r="G102" s="86">
        <f t="shared" si="25"/>
        <v>0</v>
      </c>
      <c r="H102" s="86">
        <f t="shared" si="25"/>
        <v>0</v>
      </c>
      <c r="I102" s="86">
        <f t="shared" si="25"/>
        <v>0</v>
      </c>
      <c r="J102" s="86">
        <f t="shared" si="25"/>
        <v>0</v>
      </c>
      <c r="K102" s="86">
        <f t="shared" si="25"/>
        <v>0</v>
      </c>
      <c r="L102" s="86">
        <f t="shared" si="25"/>
        <v>0</v>
      </c>
      <c r="M102" s="86">
        <f t="shared" si="25"/>
        <v>0</v>
      </c>
      <c r="N102" s="86">
        <f t="shared" si="25"/>
        <v>0</v>
      </c>
      <c r="O102" s="86">
        <f t="shared" si="25"/>
        <v>0</v>
      </c>
      <c r="P102" s="86">
        <f t="shared" si="25"/>
        <v>0</v>
      </c>
      <c r="Q102" s="86">
        <f t="shared" si="25"/>
        <v>0</v>
      </c>
      <c r="R102" s="86">
        <f t="shared" si="25"/>
        <v>0</v>
      </c>
      <c r="S102" s="86">
        <f t="shared" si="25"/>
        <v>0</v>
      </c>
      <c r="T102" s="86">
        <f t="shared" si="25"/>
        <v>0</v>
      </c>
      <c r="U102" s="86">
        <f t="shared" si="25"/>
        <v>0</v>
      </c>
      <c r="V102" s="86">
        <f t="shared" si="25"/>
        <v>0</v>
      </c>
      <c r="W102" s="86">
        <f t="shared" si="25"/>
        <v>0</v>
      </c>
      <c r="X102" s="110">
        <f>MAIN!E23/1000</f>
        <v>0</v>
      </c>
      <c r="Y102" s="110">
        <f>W102-MAIN!F23/1000</f>
        <v>0</v>
      </c>
      <c r="AL102" s="697"/>
    </row>
    <row r="103" spans="1:38" ht="15.75">
      <c r="A103" s="375"/>
      <c r="B103" s="106" t="s">
        <v>298</v>
      </c>
      <c r="C103" s="86">
        <f>W88</f>
        <v>16.499999999999996</v>
      </c>
      <c r="D103" s="86">
        <f>C103+MAIN!$C$23/20</f>
        <v>16.499999999999996</v>
      </c>
      <c r="E103" s="86">
        <f>D103+MAIN!$C$23/20</f>
        <v>16.499999999999996</v>
      </c>
      <c r="F103" s="86">
        <f>E103+MAIN!$C$23/20</f>
        <v>16.499999999999996</v>
      </c>
      <c r="G103" s="86">
        <f>F103+MAIN!$C$23/20</f>
        <v>16.499999999999996</v>
      </c>
      <c r="H103" s="86">
        <f>G103+MAIN!$C$23/20</f>
        <v>16.499999999999996</v>
      </c>
      <c r="I103" s="86">
        <f>H103+MAIN!$C$23/20</f>
        <v>16.499999999999996</v>
      </c>
      <c r="J103" s="86">
        <f>I103+MAIN!$C$23/20</f>
        <v>16.499999999999996</v>
      </c>
      <c r="K103" s="86">
        <f>J103+MAIN!$C$23/20</f>
        <v>16.499999999999996</v>
      </c>
      <c r="L103" s="86">
        <f>K103+MAIN!$C$23/20</f>
        <v>16.499999999999996</v>
      </c>
      <c r="M103" s="86">
        <f>L103+MAIN!$C$23/20</f>
        <v>16.499999999999996</v>
      </c>
      <c r="N103" s="86">
        <f>M103+MAIN!$C$23/20</f>
        <v>16.499999999999996</v>
      </c>
      <c r="O103" s="86">
        <f>N103+MAIN!$C$23/20</f>
        <v>16.499999999999996</v>
      </c>
      <c r="P103" s="86">
        <f>O103+MAIN!$C$23/20</f>
        <v>16.499999999999996</v>
      </c>
      <c r="Q103" s="86">
        <f>P103+MAIN!$C$23/20</f>
        <v>16.499999999999996</v>
      </c>
      <c r="R103" s="86">
        <f>Q103+MAIN!$C$23/20</f>
        <v>16.499999999999996</v>
      </c>
      <c r="S103" s="86">
        <f>R103+MAIN!$C$23/20</f>
        <v>16.499999999999996</v>
      </c>
      <c r="T103" s="86">
        <f>S103+MAIN!$C$23/20</f>
        <v>16.499999999999996</v>
      </c>
      <c r="U103" s="86">
        <f>T103+MAIN!$C$23/20</f>
        <v>16.499999999999996</v>
      </c>
      <c r="V103" s="86">
        <f>U103+MAIN!$C$23/20</f>
        <v>16.499999999999996</v>
      </c>
      <c r="W103" s="86">
        <f>V103+MAIN!$C$23/20</f>
        <v>16.499999999999996</v>
      </c>
      <c r="X103" s="86"/>
      <c r="Y103" s="86"/>
      <c r="AL103" s="697"/>
    </row>
    <row r="104" spans="1:38" ht="15.75">
      <c r="A104" s="375"/>
      <c r="B104" s="106" t="s">
        <v>301</v>
      </c>
      <c r="C104" s="103">
        <f>Analysis!H106</f>
        <v>0</v>
      </c>
      <c r="D104" s="103">
        <f>-Analysis!$D278*D$102+Analysis!$F281*D$102^2/2+IF(D$102&gt;Analysis!$F284,Analysis!$G281*(D$102-Analysis!$F284),0)+IF(D$102&gt;Analysis!$H284,Analysis!$H281*(D$102-Analysis!$H284),0)+$C104</f>
        <v>0</v>
      </c>
      <c r="E104" s="103">
        <f>-Analysis!$D278*E$102+Analysis!$F281*E$102^2/2+IF(E$102&gt;Analysis!$F284,Analysis!$G281*(E$102-Analysis!$F284),0)+IF(E$102&gt;Analysis!$H284,Analysis!$H281*(E$102-Analysis!$H284),0)+$C104</f>
        <v>0</v>
      </c>
      <c r="F104" s="103">
        <f>-Analysis!$D278*F$102+Analysis!$F281*F$102^2/2+IF(F$102&gt;Analysis!$F284,Analysis!$G281*(F$102-Analysis!$F284),0)+IF(F$102&gt;Analysis!$H284,Analysis!$H281*(F$102-Analysis!$H284),0)+$C104</f>
        <v>0</v>
      </c>
      <c r="G104" s="103">
        <f>-Analysis!$D278*G$102+Analysis!$F281*G$102^2/2+IF(G$102&gt;Analysis!$F284,Analysis!$G281*(G$102-Analysis!$F284),0)+IF(G$102&gt;Analysis!$H284,Analysis!$H281*(G$102-Analysis!$H284),0)+$C104</f>
        <v>0</v>
      </c>
      <c r="H104" s="103">
        <f>-Analysis!$D278*H$102+Analysis!$F281*H$102^2/2+IF(H$102&gt;Analysis!$F284,Analysis!$G281*(H$102-Analysis!$F284),0)+IF(H$102&gt;Analysis!$H284,Analysis!$H281*(H$102-Analysis!$H284),0)+$C104</f>
        <v>0</v>
      </c>
      <c r="I104" s="103">
        <f>-Analysis!$D278*I$102+Analysis!$F281*I$102^2/2+IF(I$102&gt;Analysis!$F284,Analysis!$G281*(I$102-Analysis!$F284),0)+IF(I$102&gt;Analysis!$H284,Analysis!$H281*(I$102-Analysis!$H284),0)+$C104</f>
        <v>0</v>
      </c>
      <c r="J104" s="103">
        <f>-Analysis!$D278*J$102+Analysis!$F281*J$102^2/2+IF(J$102&gt;Analysis!$F284,Analysis!$G281*(J$102-Analysis!$F284),0)+IF(J$102&gt;Analysis!$H284,Analysis!$H281*(J$102-Analysis!$H284),0)+$C104</f>
        <v>0</v>
      </c>
      <c r="K104" s="103">
        <f>-Analysis!$D278*K$102+Analysis!$F281*K$102^2/2+IF(K$102&gt;Analysis!$F284,Analysis!$G281*(K$102-Analysis!$F284),0)+IF(K$102&gt;Analysis!$H284,Analysis!$H281*(K$102-Analysis!$H284),0)+$C104</f>
        <v>0</v>
      </c>
      <c r="L104" s="103">
        <f>-Analysis!$D278*L$102+Analysis!$F281*L$102^2/2+IF(L$102&gt;Analysis!$F284,Analysis!$G281*(L$102-Analysis!$F284),0)+IF(L$102&gt;Analysis!$H284,Analysis!$H281*(L$102-Analysis!$H284),0)+$C104</f>
        <v>0</v>
      </c>
      <c r="M104" s="103">
        <f>-Analysis!$D278*M$102+Analysis!$F281*M$102^2/2+IF(M$102&gt;Analysis!$F284,Analysis!$G281*(M$102-Analysis!$F284),0)+IF(M$102&gt;Analysis!$H284,Analysis!$H281*(M$102-Analysis!$H284),0)+$C104</f>
        <v>0</v>
      </c>
      <c r="N104" s="103">
        <f>-Analysis!$D278*N$102+Analysis!$F281*N$102^2/2+IF(N$102&gt;Analysis!$F284,Analysis!$G281*(N$102-Analysis!$F284),0)+IF(N$102&gt;Analysis!$H284,Analysis!$H281*(N$102-Analysis!$H284),0)+$C104</f>
        <v>0</v>
      </c>
      <c r="O104" s="103">
        <f>-Analysis!$D278*O$102+Analysis!$F281*O$102^2/2+IF(O$102&gt;Analysis!$F284,Analysis!$G281*(O$102-Analysis!$F284),0)+IF(O$102&gt;Analysis!$H284,Analysis!$H281*(O$102-Analysis!$H284),0)+$C104</f>
        <v>0</v>
      </c>
      <c r="P104" s="103">
        <f>-Analysis!$D278*P$102+Analysis!$F281*P$102^2/2+IF(P$102&gt;Analysis!$F284,Analysis!$G281*(P$102-Analysis!$F284),0)+IF(P$102&gt;Analysis!$H284,Analysis!$H281*(P$102-Analysis!$H284),0)+$C104</f>
        <v>0</v>
      </c>
      <c r="Q104" s="103">
        <f>-Analysis!$D278*Q$102+Analysis!$F281*Q$102^2/2+IF(Q$102&gt;Analysis!$F284,Analysis!$G281*(Q$102-Analysis!$F284),0)+IF(Q$102&gt;Analysis!$H284,Analysis!$H281*(Q$102-Analysis!$H284),0)+$C104</f>
        <v>0</v>
      </c>
      <c r="R104" s="103">
        <f>-Analysis!$D278*R$102+Analysis!$F281*R$102^2/2+IF(R$102&gt;Analysis!$F284,Analysis!$G281*(R$102-Analysis!$F284),0)+IF(R$102&gt;Analysis!$H284,Analysis!$H281*(R$102-Analysis!$H284),0)+$C104</f>
        <v>0</v>
      </c>
      <c r="S104" s="103">
        <f>-Analysis!$D278*S$102+Analysis!$F281*S$102^2/2+IF(S$102&gt;Analysis!$F284,Analysis!$G281*(S$102-Analysis!$F284),0)+IF(S$102&gt;Analysis!$H284,Analysis!$H281*(S$102-Analysis!$H284),0)+$C104</f>
        <v>0</v>
      </c>
      <c r="T104" s="103">
        <f>-Analysis!$D278*T$102+Analysis!$F281*T$102^2/2+IF(T$102&gt;Analysis!$F284,Analysis!$G281*(T$102-Analysis!$F284),0)+IF(T$102&gt;Analysis!$H284,Analysis!$H281*(T$102-Analysis!$H284),0)+$C104</f>
        <v>0</v>
      </c>
      <c r="U104" s="103">
        <f>-Analysis!$D278*U$102+Analysis!$F281*U$102^2/2+IF(U$102&gt;Analysis!$F284,Analysis!$G281*(U$102-Analysis!$F284),0)+IF(U$102&gt;Analysis!$H284,Analysis!$H281*(U$102-Analysis!$H284),0)+$C104</f>
        <v>0</v>
      </c>
      <c r="V104" s="103">
        <f>-Analysis!$D278*V$102+Analysis!$F281*V$102^2/2+IF(V$102&gt;Analysis!$F284,Analysis!$G281*(V$102-Analysis!$F284),0)+IF(V$102&gt;Analysis!$H284,Analysis!$H281*(V$102-Analysis!$H284),0)+$C104</f>
        <v>0</v>
      </c>
      <c r="W104" s="103">
        <f>Analysis!I106</f>
        <v>0</v>
      </c>
      <c r="X104" s="103">
        <f>-Analysis!$D278*X$102+Analysis!$F281*X$102^2/2+IF(X$102&gt;Analysis!$F284,Analysis!$G281*(X$102-Analysis!$F284),0)+IF(X$102&gt;Analysis!$H284,Analysis!$H281*(X$102-Analysis!$H284),0)+$C104</f>
        <v>0</v>
      </c>
      <c r="Y104" s="103">
        <f>-Analysis!$D278*Y$102+Analysis!$F281*Y$102^2/2+IF(Y$102&gt;Analysis!$F284,Analysis!$G281*(Y$102-Analysis!$F284),0)+IF(Y$102&gt;Analysis!$H284,Analysis!$H281*(Y$102-Analysis!$H284),0)+$C104</f>
        <v>0</v>
      </c>
      <c r="AL104" s="697"/>
    </row>
    <row r="105" spans="1:38" ht="15.75">
      <c r="A105" s="375"/>
      <c r="B105" s="106" t="s">
        <v>302</v>
      </c>
      <c r="C105" s="103">
        <f>Analysis!H107</f>
        <v>0</v>
      </c>
      <c r="D105" s="103">
        <f>-Analysis!$D279*D$102+Analysis!$F282*D$102^2/2+IF(D$102&gt;Analysis!$F285,Analysis!$G282*(D$102-Analysis!$F285),0)+IF(D$102&gt;Analysis!$H285,Analysis!$H282*(D$102-Analysis!$H285),0)+$C105</f>
        <v>0</v>
      </c>
      <c r="E105" s="103">
        <f>-Analysis!$D279*E$102+Analysis!$F282*E$102^2/2+IF(E$102&gt;Analysis!$F285,Analysis!$G282*(E$102-Analysis!$F285),0)+IF(E$102&gt;Analysis!$H285,Analysis!$H282*(E$102-Analysis!$H285),0)+$C105</f>
        <v>0</v>
      </c>
      <c r="F105" s="103">
        <f>-Analysis!$D279*F$102+Analysis!$F282*F$102^2/2+IF(F$102&gt;Analysis!$F285,Analysis!$G282*(F$102-Analysis!$F285),0)+IF(F$102&gt;Analysis!$H285,Analysis!$H282*(F$102-Analysis!$H285),0)+$C105</f>
        <v>0</v>
      </c>
      <c r="G105" s="103">
        <f>-Analysis!$D279*G$102+Analysis!$F282*G$102^2/2+IF(G$102&gt;Analysis!$F285,Analysis!$G282*(G$102-Analysis!$F285),0)+IF(G$102&gt;Analysis!$H285,Analysis!$H282*(G$102-Analysis!$H285),0)+$C105</f>
        <v>0</v>
      </c>
      <c r="H105" s="103">
        <f>-Analysis!$D279*H$102+Analysis!$F282*H$102^2/2+IF(H$102&gt;Analysis!$F285,Analysis!$G282*(H$102-Analysis!$F285),0)+IF(H$102&gt;Analysis!$H285,Analysis!$H282*(H$102-Analysis!$H285),0)+$C105</f>
        <v>0</v>
      </c>
      <c r="I105" s="103">
        <f>-Analysis!$D279*I$102+Analysis!$F282*I$102^2/2+IF(I$102&gt;Analysis!$F285,Analysis!$G282*(I$102-Analysis!$F285),0)+IF(I$102&gt;Analysis!$H285,Analysis!$H282*(I$102-Analysis!$H285),0)+$C105</f>
        <v>0</v>
      </c>
      <c r="J105" s="103">
        <f>-Analysis!$D279*J$102+Analysis!$F282*J$102^2/2+IF(J$102&gt;Analysis!$F285,Analysis!$G282*(J$102-Analysis!$F285),0)+IF(J$102&gt;Analysis!$H285,Analysis!$H282*(J$102-Analysis!$H285),0)+$C105</f>
        <v>0</v>
      </c>
      <c r="K105" s="103">
        <f>-Analysis!$D279*K$102+Analysis!$F282*K$102^2/2+IF(K$102&gt;Analysis!$F285,Analysis!$G282*(K$102-Analysis!$F285),0)+IF(K$102&gt;Analysis!$H285,Analysis!$H282*(K$102-Analysis!$H285),0)+$C105</f>
        <v>0</v>
      </c>
      <c r="L105" s="103">
        <f>-Analysis!$D279*L$102+Analysis!$F282*L$102^2/2+IF(L$102&gt;Analysis!$F285,Analysis!$G282*(L$102-Analysis!$F285),0)+IF(L$102&gt;Analysis!$H285,Analysis!$H282*(L$102-Analysis!$H285),0)+$C105</f>
        <v>0</v>
      </c>
      <c r="M105" s="103">
        <f>-Analysis!$D279*M$102+Analysis!$F282*M$102^2/2+IF(M$102&gt;Analysis!$F285,Analysis!$G282*(M$102-Analysis!$F285),0)+IF(M$102&gt;Analysis!$H285,Analysis!$H282*(M$102-Analysis!$H285),0)+$C105</f>
        <v>0</v>
      </c>
      <c r="N105" s="103">
        <f>-Analysis!$D279*N$102+Analysis!$F282*N$102^2/2+IF(N$102&gt;Analysis!$F285,Analysis!$G282*(N$102-Analysis!$F285),0)+IF(N$102&gt;Analysis!$H285,Analysis!$H282*(N$102-Analysis!$H285),0)+$C105</f>
        <v>0</v>
      </c>
      <c r="O105" s="103">
        <f>-Analysis!$D279*O$102+Analysis!$F282*O$102^2/2+IF(O$102&gt;Analysis!$F285,Analysis!$G282*(O$102-Analysis!$F285),0)+IF(O$102&gt;Analysis!$H285,Analysis!$H282*(O$102-Analysis!$H285),0)+$C105</f>
        <v>0</v>
      </c>
      <c r="P105" s="103">
        <f>-Analysis!$D279*P$102+Analysis!$F282*P$102^2/2+IF(P$102&gt;Analysis!$F285,Analysis!$G282*(P$102-Analysis!$F285),0)+IF(P$102&gt;Analysis!$H285,Analysis!$H282*(P$102-Analysis!$H285),0)+$C105</f>
        <v>0</v>
      </c>
      <c r="Q105" s="103">
        <f>-Analysis!$D279*Q$102+Analysis!$F282*Q$102^2/2+IF(Q$102&gt;Analysis!$F285,Analysis!$G282*(Q$102-Analysis!$F285),0)+IF(Q$102&gt;Analysis!$H285,Analysis!$H282*(Q$102-Analysis!$H285),0)+$C105</f>
        <v>0</v>
      </c>
      <c r="R105" s="103">
        <f>-Analysis!$D279*R$102+Analysis!$F282*R$102^2/2+IF(R$102&gt;Analysis!$F285,Analysis!$G282*(R$102-Analysis!$F285),0)+IF(R$102&gt;Analysis!$H285,Analysis!$H282*(R$102-Analysis!$H285),0)+$C105</f>
        <v>0</v>
      </c>
      <c r="S105" s="103">
        <f>-Analysis!$D279*S$102+Analysis!$F282*S$102^2/2+IF(S$102&gt;Analysis!$F285,Analysis!$G282*(S$102-Analysis!$F285),0)+IF(S$102&gt;Analysis!$H285,Analysis!$H282*(S$102-Analysis!$H285),0)+$C105</f>
        <v>0</v>
      </c>
      <c r="T105" s="103">
        <f>-Analysis!$D279*T$102+Analysis!$F282*T$102^2/2+IF(T$102&gt;Analysis!$F285,Analysis!$G282*(T$102-Analysis!$F285),0)+IF(T$102&gt;Analysis!$H285,Analysis!$H282*(T$102-Analysis!$H285),0)+$C105</f>
        <v>0</v>
      </c>
      <c r="U105" s="103">
        <f>-Analysis!$D279*U$102+Analysis!$F282*U$102^2/2+IF(U$102&gt;Analysis!$F285,Analysis!$G282*(U$102-Analysis!$F285),0)+IF(U$102&gt;Analysis!$H285,Analysis!$H282*(U$102-Analysis!$H285),0)+$C105</f>
        <v>0</v>
      </c>
      <c r="V105" s="103">
        <f>-Analysis!$D279*V$102+Analysis!$F282*V$102^2/2+IF(V$102&gt;Analysis!$F285,Analysis!$G282*(V$102-Analysis!$F285),0)+IF(V$102&gt;Analysis!$H285,Analysis!$H282*(V$102-Analysis!$H285),0)+$C105</f>
        <v>0</v>
      </c>
      <c r="W105" s="103">
        <f>Analysis!I107</f>
        <v>0</v>
      </c>
      <c r="X105" s="103">
        <f>-Analysis!$D279*X$102+Analysis!$F282*X$102^2/2+IF(X$102&gt;Analysis!$F285,Analysis!$G282*(X$102-Analysis!$F285),0)+IF(X$102&gt;Analysis!$H285,Analysis!$H282*(X$102-Analysis!$H285),0)+$C105</f>
        <v>0</v>
      </c>
      <c r="Y105" s="103">
        <f>-Analysis!$D279*Y$102+Analysis!$F282*Y$102^2/2+IF(Y$102&gt;Analysis!$F285,Analysis!$G282*(Y$102-Analysis!$F285),0)+IF(Y$102&gt;Analysis!$H285,Analysis!$H282*(Y$102-Analysis!$H285),0)+$C105</f>
        <v>0</v>
      </c>
      <c r="AL105" s="697"/>
    </row>
    <row r="106" spans="1:38" ht="15.75">
      <c r="A106" s="375"/>
      <c r="B106" s="107" t="s">
        <v>303</v>
      </c>
      <c r="C106" s="103">
        <f>Analysis!H108</f>
        <v>0</v>
      </c>
      <c r="D106" s="103">
        <f>-Analysis!$D280*D$102+Analysis!$F283*D$102^2/2+IF(D$102&gt;Analysis!$F286,Analysis!$G283*(D$102-Analysis!$F286),0)+IF(D$102&gt;Analysis!$H286,Analysis!$H283*(D$102-Analysis!$H286),0)+$C106</f>
        <v>0</v>
      </c>
      <c r="E106" s="103">
        <f>-Analysis!$D280*E$102+Analysis!$F283*E$102^2/2+IF(E$102&gt;Analysis!$F286,Analysis!$G283*(E$102-Analysis!$F286),0)+IF(E$102&gt;Analysis!$H286,Analysis!$H283*(E$102-Analysis!$H286),0)+$C106</f>
        <v>0</v>
      </c>
      <c r="F106" s="103">
        <f>-Analysis!$D280*F$102+Analysis!$F283*F$102^2/2+IF(F$102&gt;Analysis!$F286,Analysis!$G283*(F$102-Analysis!$F286),0)+IF(F$102&gt;Analysis!$H286,Analysis!$H283*(F$102-Analysis!$H286),0)+$C106</f>
        <v>0</v>
      </c>
      <c r="G106" s="103">
        <f>-Analysis!$D280*G$102+Analysis!$F283*G$102^2/2+IF(G$102&gt;Analysis!$F286,Analysis!$G283*(G$102-Analysis!$F286),0)+IF(G$102&gt;Analysis!$H286,Analysis!$H283*(G$102-Analysis!$H286),0)+$C106</f>
        <v>0</v>
      </c>
      <c r="H106" s="103">
        <f>-Analysis!$D280*H$102+Analysis!$F283*H$102^2/2+IF(H$102&gt;Analysis!$F286,Analysis!$G283*(H$102-Analysis!$F286),0)+IF(H$102&gt;Analysis!$H286,Analysis!$H283*(H$102-Analysis!$H286),0)+$C106</f>
        <v>0</v>
      </c>
      <c r="I106" s="103">
        <f>-Analysis!$D280*I$102+Analysis!$F283*I$102^2/2+IF(I$102&gt;Analysis!$F286,Analysis!$G283*(I$102-Analysis!$F286),0)+IF(I$102&gt;Analysis!$H286,Analysis!$H283*(I$102-Analysis!$H286),0)+$C106</f>
        <v>0</v>
      </c>
      <c r="J106" s="103">
        <f>-Analysis!$D280*J$102+Analysis!$F283*J$102^2/2+IF(J$102&gt;Analysis!$F286,Analysis!$G283*(J$102-Analysis!$F286),0)+IF(J$102&gt;Analysis!$H286,Analysis!$H283*(J$102-Analysis!$H286),0)+$C106</f>
        <v>0</v>
      </c>
      <c r="K106" s="103">
        <f>-Analysis!$D280*K$102+Analysis!$F283*K$102^2/2+IF(K$102&gt;Analysis!$F286,Analysis!$G283*(K$102-Analysis!$F286),0)+IF(K$102&gt;Analysis!$H286,Analysis!$H283*(K$102-Analysis!$H286),0)+$C106</f>
        <v>0</v>
      </c>
      <c r="L106" s="103">
        <f>-Analysis!$D280*L$102+Analysis!$F283*L$102^2/2+IF(L$102&gt;Analysis!$F286,Analysis!$G283*(L$102-Analysis!$F286),0)+IF(L$102&gt;Analysis!$H286,Analysis!$H283*(L$102-Analysis!$H286),0)+$C106</f>
        <v>0</v>
      </c>
      <c r="M106" s="103">
        <f>-Analysis!$D280*M$102+Analysis!$F283*M$102^2/2+IF(M$102&gt;Analysis!$F286,Analysis!$G283*(M$102-Analysis!$F286),0)+IF(M$102&gt;Analysis!$H286,Analysis!$H283*(M$102-Analysis!$H286),0)+$C106</f>
        <v>0</v>
      </c>
      <c r="N106" s="103">
        <f>-Analysis!$D280*N$102+Analysis!$F283*N$102^2/2+IF(N$102&gt;Analysis!$F286,Analysis!$G283*(N$102-Analysis!$F286),0)+IF(N$102&gt;Analysis!$H286,Analysis!$H283*(N$102-Analysis!$H286),0)+$C106</f>
        <v>0</v>
      </c>
      <c r="O106" s="103">
        <f>-Analysis!$D280*O$102+Analysis!$F283*O$102^2/2+IF(O$102&gt;Analysis!$F286,Analysis!$G283*(O$102-Analysis!$F286),0)+IF(O$102&gt;Analysis!$H286,Analysis!$H283*(O$102-Analysis!$H286),0)+$C106</f>
        <v>0</v>
      </c>
      <c r="P106" s="103">
        <f>-Analysis!$D280*P$102+Analysis!$F283*P$102^2/2+IF(P$102&gt;Analysis!$F286,Analysis!$G283*(P$102-Analysis!$F286),0)+IF(P$102&gt;Analysis!$H286,Analysis!$H283*(P$102-Analysis!$H286),0)+$C106</f>
        <v>0</v>
      </c>
      <c r="Q106" s="103">
        <f>-Analysis!$D280*Q$102+Analysis!$F283*Q$102^2/2+IF(Q$102&gt;Analysis!$F286,Analysis!$G283*(Q$102-Analysis!$F286),0)+IF(Q$102&gt;Analysis!$H286,Analysis!$H283*(Q$102-Analysis!$H286),0)+$C106</f>
        <v>0</v>
      </c>
      <c r="R106" s="103">
        <f>-Analysis!$D280*R$102+Analysis!$F283*R$102^2/2+IF(R$102&gt;Analysis!$F286,Analysis!$G283*(R$102-Analysis!$F286),0)+IF(R$102&gt;Analysis!$H286,Analysis!$H283*(R$102-Analysis!$H286),0)+$C106</f>
        <v>0</v>
      </c>
      <c r="S106" s="103">
        <f>-Analysis!$D280*S$102+Analysis!$F283*S$102^2/2+IF(S$102&gt;Analysis!$F286,Analysis!$G283*(S$102-Analysis!$F286),0)+IF(S$102&gt;Analysis!$H286,Analysis!$H283*(S$102-Analysis!$H286),0)+$C106</f>
        <v>0</v>
      </c>
      <c r="T106" s="103">
        <f>-Analysis!$D280*T$102+Analysis!$F283*T$102^2/2+IF(T$102&gt;Analysis!$F286,Analysis!$G283*(T$102-Analysis!$F286),0)+IF(T$102&gt;Analysis!$H286,Analysis!$H283*(T$102-Analysis!$H286),0)+$C106</f>
        <v>0</v>
      </c>
      <c r="U106" s="103">
        <f>-Analysis!$D280*U$102+Analysis!$F283*U$102^2/2+IF(U$102&gt;Analysis!$F286,Analysis!$G283*(U$102-Analysis!$F286),0)+IF(U$102&gt;Analysis!$H286,Analysis!$H283*(U$102-Analysis!$H286),0)+$C106</f>
        <v>0</v>
      </c>
      <c r="V106" s="103">
        <f>-Analysis!$D280*V$102+Analysis!$F283*V$102^2/2+IF(V$102&gt;Analysis!$F286,Analysis!$G283*(V$102-Analysis!$F286),0)+IF(V$102&gt;Analysis!$H286,Analysis!$H283*(V$102-Analysis!$H286),0)+$C106</f>
        <v>0</v>
      </c>
      <c r="W106" s="103">
        <f>Analysis!I108</f>
        <v>0</v>
      </c>
      <c r="X106" s="103">
        <f>-Analysis!$D280*X$102+Analysis!$F283*X$102^2/2+IF(X$102&gt;Analysis!$F286,Analysis!$G283*(X$102-Analysis!$F286),0)+IF(X$102&gt;Analysis!$H286,Analysis!$H283*(X$102-Analysis!$H286),0)+$C106</f>
        <v>0</v>
      </c>
      <c r="Y106" s="103">
        <f>-Analysis!$D280*Y$102+Analysis!$F283*Y$102^2/2+IF(Y$102&gt;Analysis!$F286,Analysis!$G283*(Y$102-Analysis!$F286),0)+IF(Y$102&gt;Analysis!$H286,Analysis!$H283*(Y$102-Analysis!$H286),0)+$C106</f>
        <v>0</v>
      </c>
      <c r="AL106" s="697"/>
    </row>
    <row r="107" spans="1:38" ht="15.75">
      <c r="A107" s="375"/>
      <c r="B107" s="108" t="s">
        <v>304</v>
      </c>
      <c r="C107" s="104">
        <v>0</v>
      </c>
      <c r="D107" s="104">
        <v>0</v>
      </c>
      <c r="E107" s="104">
        <v>0</v>
      </c>
      <c r="F107" s="104">
        <v>0</v>
      </c>
      <c r="G107" s="104">
        <v>0</v>
      </c>
      <c r="H107" s="104">
        <v>0</v>
      </c>
      <c r="I107" s="104">
        <v>0</v>
      </c>
      <c r="J107" s="104">
        <v>0</v>
      </c>
      <c r="K107" s="104">
        <v>0</v>
      </c>
      <c r="L107" s="104">
        <v>0</v>
      </c>
      <c r="M107" s="104">
        <v>0</v>
      </c>
      <c r="N107" s="104">
        <v>0</v>
      </c>
      <c r="O107" s="104">
        <v>0</v>
      </c>
      <c r="P107" s="104">
        <v>0</v>
      </c>
      <c r="Q107" s="104">
        <v>0</v>
      </c>
      <c r="R107" s="104">
        <v>0</v>
      </c>
      <c r="S107" s="104">
        <v>0</v>
      </c>
      <c r="T107" s="104">
        <v>0</v>
      </c>
      <c r="U107" s="104">
        <v>0</v>
      </c>
      <c r="V107" s="104">
        <v>0</v>
      </c>
      <c r="W107" s="104">
        <v>0</v>
      </c>
      <c r="X107" s="104"/>
      <c r="Y107" s="104"/>
      <c r="AL107" s="697"/>
    </row>
    <row r="108" spans="1:38" ht="15.75">
      <c r="A108" s="375"/>
      <c r="B108" s="108" t="s">
        <v>305</v>
      </c>
      <c r="C108" s="105">
        <f>Analysis!H115</f>
        <v>0</v>
      </c>
      <c r="D108" s="105">
        <f>-Analysis!$D281*D$102+Analysis!$F281*D$102^2/2+IF(D$102&gt;Analysis!$F287,Analysis!$G281*(D$102-Analysis!$F287),0)+IF(D$102&gt;Analysis!$H287,Analysis!$H281*(D$102-Analysis!$H287),0)+$C108</f>
        <v>0</v>
      </c>
      <c r="E108" s="105">
        <f>-Analysis!$D281*E$102+Analysis!$F281*E$102^2/2+IF(E$102&gt;Analysis!$F287,Analysis!$G281*(E$102-Analysis!$F287),0)+IF(E$102&gt;Analysis!$H287,Analysis!$H281*(E$102-Analysis!$H287),0)+$C108</f>
        <v>0</v>
      </c>
      <c r="F108" s="105">
        <f>-Analysis!$D281*F$102+Analysis!$F281*F$102^2/2+IF(F$102&gt;Analysis!$F287,Analysis!$G281*(F$102-Analysis!$F287),0)+IF(F$102&gt;Analysis!$H287,Analysis!$H281*(F$102-Analysis!$H287),0)+$C108</f>
        <v>0</v>
      </c>
      <c r="G108" s="105">
        <f>-Analysis!$D281*G$102+Analysis!$F281*G$102^2/2+IF(G$102&gt;Analysis!$F287,Analysis!$G281*(G$102-Analysis!$F287),0)+IF(G$102&gt;Analysis!$H287,Analysis!$H281*(G$102-Analysis!$H287),0)+$C108</f>
        <v>0</v>
      </c>
      <c r="H108" s="105">
        <f>-Analysis!$D281*H$102+Analysis!$F281*H$102^2/2+IF(H$102&gt;Analysis!$F287,Analysis!$G281*(H$102-Analysis!$F287),0)+IF(H$102&gt;Analysis!$H287,Analysis!$H281*(H$102-Analysis!$H287),0)+$C108</f>
        <v>0</v>
      </c>
      <c r="I108" s="105">
        <f>-Analysis!$D281*I$102+Analysis!$F281*I$102^2/2+IF(I$102&gt;Analysis!$F287,Analysis!$G281*(I$102-Analysis!$F287),0)+IF(I$102&gt;Analysis!$H287,Analysis!$H281*(I$102-Analysis!$H287),0)+$C108</f>
        <v>0</v>
      </c>
      <c r="J108" s="105">
        <f>-Analysis!$D281*J$102+Analysis!$F281*J$102^2/2+IF(J$102&gt;Analysis!$F287,Analysis!$G281*(J$102-Analysis!$F287),0)+IF(J$102&gt;Analysis!$H287,Analysis!$H281*(J$102-Analysis!$H287),0)+$C108</f>
        <v>0</v>
      </c>
      <c r="K108" s="105">
        <f>-Analysis!$D281*K$102+Analysis!$F281*K$102^2/2+IF(K$102&gt;Analysis!$F287,Analysis!$G281*(K$102-Analysis!$F287),0)+IF(K$102&gt;Analysis!$H287,Analysis!$H281*(K$102-Analysis!$H287),0)+$C108</f>
        <v>0</v>
      </c>
      <c r="L108" s="105">
        <f>-Analysis!$D281*L$102+Analysis!$F281*L$102^2/2+IF(L$102&gt;Analysis!$F287,Analysis!$G281*(L$102-Analysis!$F287),0)+IF(L$102&gt;Analysis!$H287,Analysis!$H281*(L$102-Analysis!$H287),0)+$C108</f>
        <v>0</v>
      </c>
      <c r="M108" s="105">
        <f>-Analysis!$D281*M$102+Analysis!$F281*M$102^2/2+IF(M$102&gt;Analysis!$F287,Analysis!$G281*(M$102-Analysis!$F287),0)+IF(M$102&gt;Analysis!$H287,Analysis!$H281*(M$102-Analysis!$H287),0)+$C108</f>
        <v>0</v>
      </c>
      <c r="N108" s="105">
        <f>-Analysis!$D281*N$102+Analysis!$F281*N$102^2/2+IF(N$102&gt;Analysis!$F287,Analysis!$G281*(N$102-Analysis!$F287),0)+IF(N$102&gt;Analysis!$H287,Analysis!$H281*(N$102-Analysis!$H287),0)+$C108</f>
        <v>0</v>
      </c>
      <c r="O108" s="105">
        <f>-Analysis!$D281*O$102+Analysis!$F281*O$102^2/2+IF(O$102&gt;Analysis!$F287,Analysis!$G281*(O$102-Analysis!$F287),0)+IF(O$102&gt;Analysis!$H287,Analysis!$H281*(O$102-Analysis!$H287),0)+$C108</f>
        <v>0</v>
      </c>
      <c r="P108" s="105">
        <f>-Analysis!$D281*P$102+Analysis!$F281*P$102^2/2+IF(P$102&gt;Analysis!$F287,Analysis!$G281*(P$102-Analysis!$F287),0)+IF(P$102&gt;Analysis!$H287,Analysis!$H281*(P$102-Analysis!$H287),0)+$C108</f>
        <v>0</v>
      </c>
      <c r="Q108" s="105">
        <f>-Analysis!$D281*Q$102+Analysis!$F281*Q$102^2/2+IF(Q$102&gt;Analysis!$F287,Analysis!$G281*(Q$102-Analysis!$F287),0)+IF(Q$102&gt;Analysis!$H287,Analysis!$H281*(Q$102-Analysis!$H287),0)+$C108</f>
        <v>0</v>
      </c>
      <c r="R108" s="105">
        <f>-Analysis!$D281*R$102+Analysis!$F281*R$102^2/2+IF(R$102&gt;Analysis!$F287,Analysis!$G281*(R$102-Analysis!$F287),0)+IF(R$102&gt;Analysis!$H287,Analysis!$H281*(R$102-Analysis!$H287),0)+$C108</f>
        <v>0</v>
      </c>
      <c r="S108" s="105">
        <f>-Analysis!$D281*S$102+Analysis!$F281*S$102^2/2+IF(S$102&gt;Analysis!$F287,Analysis!$G281*(S$102-Analysis!$F287),0)+IF(S$102&gt;Analysis!$H287,Analysis!$H281*(S$102-Analysis!$H287),0)+$C108</f>
        <v>0</v>
      </c>
      <c r="T108" s="105">
        <f>-Analysis!$D281*T$102+Analysis!$F281*T$102^2/2+IF(T$102&gt;Analysis!$F287,Analysis!$G281*(T$102-Analysis!$F287),0)+IF(T$102&gt;Analysis!$H287,Analysis!$H281*(T$102-Analysis!$H287),0)+$C108</f>
        <v>0</v>
      </c>
      <c r="U108" s="105">
        <f>-Analysis!$D281*U$102+Analysis!$F281*U$102^2/2+IF(U$102&gt;Analysis!$F287,Analysis!$G281*(U$102-Analysis!$F287),0)+IF(U$102&gt;Analysis!$H287,Analysis!$H281*(U$102-Analysis!$H287),0)+$C108</f>
        <v>0</v>
      </c>
      <c r="V108" s="105">
        <f>-Analysis!$D281*V$102+Analysis!$F281*V$102^2/2+IF(V$102&gt;Analysis!$F287,Analysis!$G281*(V$102-Analysis!$F287),0)+IF(V$102&gt;Analysis!$H287,Analysis!$H281*(V$102-Analysis!$H287),0)+$C108</f>
        <v>0</v>
      </c>
      <c r="W108" s="105">
        <f>Analysis!I115</f>
        <v>0</v>
      </c>
      <c r="X108" s="105">
        <f>-Analysis!$D281*X$102+Analysis!$F281*X$102^2/2+IF(X$102&gt;Analysis!$F287,Analysis!$G281*(X$102-Analysis!$F287),0)+IF(X$102&gt;Analysis!$H287,Analysis!$H281*(X$102-Analysis!$H287),0)+$C108</f>
        <v>0</v>
      </c>
      <c r="Y108" s="105">
        <f>-Analysis!$D281*Y$102+Analysis!$F281*Y$102^2/2+IF(Y$102&gt;Analysis!$F287,Analysis!$G281*(Y$102-Analysis!$F287),0)+IF(Y$102&gt;Analysis!$H287,Analysis!$H281*(Y$102-Analysis!$H287),0)+$C108</f>
        <v>0</v>
      </c>
      <c r="AL108" s="697"/>
    </row>
    <row r="109" spans="1:38" ht="15.75">
      <c r="A109" s="375"/>
      <c r="B109" s="108" t="s">
        <v>306</v>
      </c>
      <c r="C109" s="105">
        <f>Analysis!H116</f>
        <v>0</v>
      </c>
      <c r="D109" s="105">
        <f>-Analysis!$D282*D$102+Analysis!$F282*D$102^2/2+IF(D$102&gt;Analysis!$F288,Analysis!$G282*(D$102-Analysis!$F288),0)+IF(D$102&gt;Analysis!$H288,Analysis!$H282*(D$102-Analysis!$H288),0)+$C109</f>
        <v>0</v>
      </c>
      <c r="E109" s="105">
        <f>-Analysis!$D282*E$102+Analysis!$F282*E$102^2/2+IF(E$102&gt;Analysis!$F288,Analysis!$G282*(E$102-Analysis!$F288),0)+IF(E$102&gt;Analysis!$H288,Analysis!$H282*(E$102-Analysis!$H288),0)+$C109</f>
        <v>0</v>
      </c>
      <c r="F109" s="105">
        <f>-Analysis!$D282*F$102+Analysis!$F282*F$102^2/2+IF(F$102&gt;Analysis!$F288,Analysis!$G282*(F$102-Analysis!$F288),0)+IF(F$102&gt;Analysis!$H288,Analysis!$H282*(F$102-Analysis!$H288),0)+$C109</f>
        <v>0</v>
      </c>
      <c r="G109" s="105">
        <f>-Analysis!$D282*G$102+Analysis!$F282*G$102^2/2+IF(G$102&gt;Analysis!$F288,Analysis!$G282*(G$102-Analysis!$F288),0)+IF(G$102&gt;Analysis!$H288,Analysis!$H282*(G$102-Analysis!$H288),0)+$C109</f>
        <v>0</v>
      </c>
      <c r="H109" s="105">
        <f>-Analysis!$D282*H$102+Analysis!$F282*H$102^2/2+IF(H$102&gt;Analysis!$F288,Analysis!$G282*(H$102-Analysis!$F288),0)+IF(H$102&gt;Analysis!$H288,Analysis!$H282*(H$102-Analysis!$H288),0)+$C109</f>
        <v>0</v>
      </c>
      <c r="I109" s="105">
        <f>-Analysis!$D282*I$102+Analysis!$F282*I$102^2/2+IF(I$102&gt;Analysis!$F288,Analysis!$G282*(I$102-Analysis!$F288),0)+IF(I$102&gt;Analysis!$H288,Analysis!$H282*(I$102-Analysis!$H288),0)+$C109</f>
        <v>0</v>
      </c>
      <c r="J109" s="105">
        <f>-Analysis!$D282*J$102+Analysis!$F282*J$102^2/2+IF(J$102&gt;Analysis!$F288,Analysis!$G282*(J$102-Analysis!$F288),0)+IF(J$102&gt;Analysis!$H288,Analysis!$H282*(J$102-Analysis!$H288),0)+$C109</f>
        <v>0</v>
      </c>
      <c r="K109" s="105">
        <f>-Analysis!$D282*K$102+Analysis!$F282*K$102^2/2+IF(K$102&gt;Analysis!$F288,Analysis!$G282*(K$102-Analysis!$F288),0)+IF(K$102&gt;Analysis!$H288,Analysis!$H282*(K$102-Analysis!$H288),0)+$C109</f>
        <v>0</v>
      </c>
      <c r="L109" s="105">
        <f>-Analysis!$D282*L$102+Analysis!$F282*L$102^2/2+IF(L$102&gt;Analysis!$F288,Analysis!$G282*(L$102-Analysis!$F288),0)+IF(L$102&gt;Analysis!$H288,Analysis!$H282*(L$102-Analysis!$H288),0)+$C109</f>
        <v>0</v>
      </c>
      <c r="M109" s="105">
        <f>-Analysis!$D282*M$102+Analysis!$F282*M$102^2/2+IF(M$102&gt;Analysis!$F288,Analysis!$G282*(M$102-Analysis!$F288),0)+IF(M$102&gt;Analysis!$H288,Analysis!$H282*(M$102-Analysis!$H288),0)+$C109</f>
        <v>0</v>
      </c>
      <c r="N109" s="105">
        <f>-Analysis!$D282*N$102+Analysis!$F282*N$102^2/2+IF(N$102&gt;Analysis!$F288,Analysis!$G282*(N$102-Analysis!$F288),0)+IF(N$102&gt;Analysis!$H288,Analysis!$H282*(N$102-Analysis!$H288),0)+$C109</f>
        <v>0</v>
      </c>
      <c r="O109" s="105">
        <f>-Analysis!$D282*O$102+Analysis!$F282*O$102^2/2+IF(O$102&gt;Analysis!$F288,Analysis!$G282*(O$102-Analysis!$F288),0)+IF(O$102&gt;Analysis!$H288,Analysis!$H282*(O$102-Analysis!$H288),0)+$C109</f>
        <v>0</v>
      </c>
      <c r="P109" s="105">
        <f>-Analysis!$D282*P$102+Analysis!$F282*P$102^2/2+IF(P$102&gt;Analysis!$F288,Analysis!$G282*(P$102-Analysis!$F288),0)+IF(P$102&gt;Analysis!$H288,Analysis!$H282*(P$102-Analysis!$H288),0)+$C109</f>
        <v>0</v>
      </c>
      <c r="Q109" s="105">
        <f>-Analysis!$D282*Q$102+Analysis!$F282*Q$102^2/2+IF(Q$102&gt;Analysis!$F288,Analysis!$G282*(Q$102-Analysis!$F288),0)+IF(Q$102&gt;Analysis!$H288,Analysis!$H282*(Q$102-Analysis!$H288),0)+$C109</f>
        <v>0</v>
      </c>
      <c r="R109" s="105">
        <f>-Analysis!$D282*R$102+Analysis!$F282*R$102^2/2+IF(R$102&gt;Analysis!$F288,Analysis!$G282*(R$102-Analysis!$F288),0)+IF(R$102&gt;Analysis!$H288,Analysis!$H282*(R$102-Analysis!$H288),0)+$C109</f>
        <v>0</v>
      </c>
      <c r="S109" s="105">
        <f>-Analysis!$D282*S$102+Analysis!$F282*S$102^2/2+IF(S$102&gt;Analysis!$F288,Analysis!$G282*(S$102-Analysis!$F288),0)+IF(S$102&gt;Analysis!$H288,Analysis!$H282*(S$102-Analysis!$H288),0)+$C109</f>
        <v>0</v>
      </c>
      <c r="T109" s="105">
        <f>-Analysis!$D282*T$102+Analysis!$F282*T$102^2/2+IF(T$102&gt;Analysis!$F288,Analysis!$G282*(T$102-Analysis!$F288),0)+IF(T$102&gt;Analysis!$H288,Analysis!$H282*(T$102-Analysis!$H288),0)+$C109</f>
        <v>0</v>
      </c>
      <c r="U109" s="105">
        <f>-Analysis!$D282*U$102+Analysis!$F282*U$102^2/2+IF(U$102&gt;Analysis!$F288,Analysis!$G282*(U$102-Analysis!$F288),0)+IF(U$102&gt;Analysis!$H288,Analysis!$H282*(U$102-Analysis!$H288),0)+$C109</f>
        <v>0</v>
      </c>
      <c r="V109" s="105">
        <f>-Analysis!$D282*V$102+Analysis!$F282*V$102^2/2+IF(V$102&gt;Analysis!$F288,Analysis!$G282*(V$102-Analysis!$F288),0)+IF(V$102&gt;Analysis!$H288,Analysis!$H282*(V$102-Analysis!$H288),0)+$C109</f>
        <v>0</v>
      </c>
      <c r="W109" s="105">
        <f>Analysis!I116</f>
        <v>0</v>
      </c>
      <c r="X109" s="105">
        <f>-Analysis!$D282*X$102+Analysis!$F282*X$102^2/2+IF(X$102&gt;Analysis!$F288,Analysis!$G282*(X$102-Analysis!$F288),0)+IF(X$102&gt;Analysis!$H288,Analysis!$H282*(X$102-Analysis!$H288),0)+$C109</f>
        <v>0</v>
      </c>
      <c r="Y109" s="105">
        <f>-Analysis!$D282*Y$102+Analysis!$F282*Y$102^2/2+IF(Y$102&gt;Analysis!$F288,Analysis!$G282*(Y$102-Analysis!$F288),0)+IF(Y$102&gt;Analysis!$H288,Analysis!$H282*(Y$102-Analysis!$H288),0)+$C109</f>
        <v>0</v>
      </c>
      <c r="AL109" s="697"/>
    </row>
    <row r="110" spans="1:38" ht="15.75">
      <c r="A110" s="375"/>
      <c r="B110" s="111" t="s">
        <v>307</v>
      </c>
      <c r="C110" s="105">
        <f>Analysis!H117</f>
        <v>0</v>
      </c>
      <c r="D110" s="105">
        <f>-Analysis!$D283*D$102+Analysis!$F283*D$102^2/2+IF(D$102&gt;Analysis!$F289,Analysis!$G283*(D$102-Analysis!$F289),0)+IF(D$102&gt;Analysis!$H289,Analysis!$H283*(D$102-Analysis!$H289),0)+$C110</f>
        <v>0</v>
      </c>
      <c r="E110" s="105">
        <f>-Analysis!$D283*E$102+Analysis!$F283*E$102^2/2+IF(E$102&gt;Analysis!$F289,Analysis!$G283*(E$102-Analysis!$F289),0)+IF(E$102&gt;Analysis!$H289,Analysis!$H283*(E$102-Analysis!$H289),0)+$C110</f>
        <v>0</v>
      </c>
      <c r="F110" s="105">
        <f>-Analysis!$D283*F$102+Analysis!$F283*F$102^2/2+IF(F$102&gt;Analysis!$F289,Analysis!$G283*(F$102-Analysis!$F289),0)+IF(F$102&gt;Analysis!$H289,Analysis!$H283*(F$102-Analysis!$H289),0)+$C110</f>
        <v>0</v>
      </c>
      <c r="G110" s="105">
        <f>-Analysis!$D283*G$102+Analysis!$F283*G$102^2/2+IF(G$102&gt;Analysis!$F289,Analysis!$G283*(G$102-Analysis!$F289),0)+IF(G$102&gt;Analysis!$H289,Analysis!$H283*(G$102-Analysis!$H289),0)+$C110</f>
        <v>0</v>
      </c>
      <c r="H110" s="105">
        <f>-Analysis!$D283*H$102+Analysis!$F283*H$102^2/2+IF(H$102&gt;Analysis!$F289,Analysis!$G283*(H$102-Analysis!$F289),0)+IF(H$102&gt;Analysis!$H289,Analysis!$H283*(H$102-Analysis!$H289),0)+$C110</f>
        <v>0</v>
      </c>
      <c r="I110" s="105">
        <f>-Analysis!$D283*I$102+Analysis!$F283*I$102^2/2+IF(I$102&gt;Analysis!$F289,Analysis!$G283*(I$102-Analysis!$F289),0)+IF(I$102&gt;Analysis!$H289,Analysis!$H283*(I$102-Analysis!$H289),0)+$C110</f>
        <v>0</v>
      </c>
      <c r="J110" s="105">
        <f>-Analysis!$D283*J$102+Analysis!$F283*J$102^2/2+IF(J$102&gt;Analysis!$F289,Analysis!$G283*(J$102-Analysis!$F289),0)+IF(J$102&gt;Analysis!$H289,Analysis!$H283*(J$102-Analysis!$H289),0)+$C110</f>
        <v>0</v>
      </c>
      <c r="K110" s="105">
        <f>-Analysis!$D283*K$102+Analysis!$F283*K$102^2/2+IF(K$102&gt;Analysis!$F289,Analysis!$G283*(K$102-Analysis!$F289),0)+IF(K$102&gt;Analysis!$H289,Analysis!$H283*(K$102-Analysis!$H289),0)+$C110</f>
        <v>0</v>
      </c>
      <c r="L110" s="105">
        <f>-Analysis!$D283*L$102+Analysis!$F283*L$102^2/2+IF(L$102&gt;Analysis!$F289,Analysis!$G283*(L$102-Analysis!$F289),0)+IF(L$102&gt;Analysis!$H289,Analysis!$H283*(L$102-Analysis!$H289),0)+$C110</f>
        <v>0</v>
      </c>
      <c r="M110" s="105">
        <f>-Analysis!$D283*M$102+Analysis!$F283*M$102^2/2+IF(M$102&gt;Analysis!$F289,Analysis!$G283*(M$102-Analysis!$F289),0)+IF(M$102&gt;Analysis!$H289,Analysis!$H283*(M$102-Analysis!$H289),0)+$C110</f>
        <v>0</v>
      </c>
      <c r="N110" s="105">
        <f>-Analysis!$D283*N$102+Analysis!$F283*N$102^2/2+IF(N$102&gt;Analysis!$F289,Analysis!$G283*(N$102-Analysis!$F289),0)+IF(N$102&gt;Analysis!$H289,Analysis!$H283*(N$102-Analysis!$H289),0)+$C110</f>
        <v>0</v>
      </c>
      <c r="O110" s="105">
        <f>-Analysis!$D283*O$102+Analysis!$F283*O$102^2/2+IF(O$102&gt;Analysis!$F289,Analysis!$G283*(O$102-Analysis!$F289),0)+IF(O$102&gt;Analysis!$H289,Analysis!$H283*(O$102-Analysis!$H289),0)+$C110</f>
        <v>0</v>
      </c>
      <c r="P110" s="105">
        <f>-Analysis!$D283*P$102+Analysis!$F283*P$102^2/2+IF(P$102&gt;Analysis!$F289,Analysis!$G283*(P$102-Analysis!$F289),0)+IF(P$102&gt;Analysis!$H289,Analysis!$H283*(P$102-Analysis!$H289),0)+$C110</f>
        <v>0</v>
      </c>
      <c r="Q110" s="105">
        <f>-Analysis!$D283*Q$102+Analysis!$F283*Q$102^2/2+IF(Q$102&gt;Analysis!$F289,Analysis!$G283*(Q$102-Analysis!$F289),0)+IF(Q$102&gt;Analysis!$H289,Analysis!$H283*(Q$102-Analysis!$H289),0)+$C110</f>
        <v>0</v>
      </c>
      <c r="R110" s="105">
        <f>-Analysis!$D283*R$102+Analysis!$F283*R$102^2/2+IF(R$102&gt;Analysis!$F289,Analysis!$G283*(R$102-Analysis!$F289),0)+IF(R$102&gt;Analysis!$H289,Analysis!$H283*(R$102-Analysis!$H289),0)+$C110</f>
        <v>0</v>
      </c>
      <c r="S110" s="105">
        <f>-Analysis!$D283*S$102+Analysis!$F283*S$102^2/2+IF(S$102&gt;Analysis!$F289,Analysis!$G283*(S$102-Analysis!$F289),0)+IF(S$102&gt;Analysis!$H289,Analysis!$H283*(S$102-Analysis!$H289),0)+$C110</f>
        <v>0</v>
      </c>
      <c r="T110" s="105">
        <f>-Analysis!$D283*T$102+Analysis!$F283*T$102^2/2+IF(T$102&gt;Analysis!$F289,Analysis!$G283*(T$102-Analysis!$F289),0)+IF(T$102&gt;Analysis!$H289,Analysis!$H283*(T$102-Analysis!$H289),0)+$C110</f>
        <v>0</v>
      </c>
      <c r="U110" s="105">
        <f>-Analysis!$D283*U$102+Analysis!$F283*U$102^2/2+IF(U$102&gt;Analysis!$F289,Analysis!$G283*(U$102-Analysis!$F289),0)+IF(U$102&gt;Analysis!$H289,Analysis!$H283*(U$102-Analysis!$H289),0)+$C110</f>
        <v>0</v>
      </c>
      <c r="V110" s="105">
        <f>-Analysis!$D283*V$102+Analysis!$F283*V$102^2/2+IF(V$102&gt;Analysis!$F289,Analysis!$G283*(V$102-Analysis!$F289),0)+IF(V$102&gt;Analysis!$H289,Analysis!$H283*(V$102-Analysis!$H289),0)+$C110</f>
        <v>0</v>
      </c>
      <c r="W110" s="105">
        <f>Analysis!I117</f>
        <v>0</v>
      </c>
      <c r="X110" s="105">
        <f>-Analysis!$D283*X$102+Analysis!$F283*X$102^2/2+IF(X$102&gt;Analysis!$F289,Analysis!$G283*(X$102-Analysis!$F289),0)+IF(X$102&gt;Analysis!$H289,Analysis!$H283*(X$102-Analysis!$H289),0)+$C110</f>
        <v>0</v>
      </c>
      <c r="Y110" s="105">
        <f>-Analysis!$D283*Y$102+Analysis!$F283*Y$102^2/2+IF(Y$102&gt;Analysis!$F289,Analysis!$G283*(Y$102-Analysis!$F289),0)+IF(Y$102&gt;Analysis!$H289,Analysis!$H283*(Y$102-Analysis!$H289),0)+$C110</f>
        <v>0</v>
      </c>
      <c r="AL110" s="697"/>
    </row>
    <row r="111" spans="1:38" ht="15.75">
      <c r="A111" s="375"/>
      <c r="B111" s="111" t="s">
        <v>308</v>
      </c>
      <c r="C111" s="116">
        <f aca="true" t="shared" si="26" ref="C111:Y111">0.7*MAX(C104:C106)</f>
        <v>0</v>
      </c>
      <c r="D111" s="116">
        <f t="shared" si="26"/>
        <v>0</v>
      </c>
      <c r="E111" s="116">
        <f t="shared" si="26"/>
        <v>0</v>
      </c>
      <c r="F111" s="116">
        <f t="shared" si="26"/>
        <v>0</v>
      </c>
      <c r="G111" s="116">
        <f t="shared" si="26"/>
        <v>0</v>
      </c>
      <c r="H111" s="116">
        <f t="shared" si="26"/>
        <v>0</v>
      </c>
      <c r="I111" s="116">
        <f t="shared" si="26"/>
        <v>0</v>
      </c>
      <c r="J111" s="116">
        <f t="shared" si="26"/>
        <v>0</v>
      </c>
      <c r="K111" s="116">
        <f t="shared" si="26"/>
        <v>0</v>
      </c>
      <c r="L111" s="116">
        <f t="shared" si="26"/>
        <v>0</v>
      </c>
      <c r="M111" s="116">
        <f t="shared" si="26"/>
        <v>0</v>
      </c>
      <c r="N111" s="116">
        <f t="shared" si="26"/>
        <v>0</v>
      </c>
      <c r="O111" s="116">
        <f t="shared" si="26"/>
        <v>0</v>
      </c>
      <c r="P111" s="116">
        <f t="shared" si="26"/>
        <v>0</v>
      </c>
      <c r="Q111" s="116">
        <f t="shared" si="26"/>
        <v>0</v>
      </c>
      <c r="R111" s="116">
        <f t="shared" si="26"/>
        <v>0</v>
      </c>
      <c r="S111" s="116">
        <f t="shared" si="26"/>
        <v>0</v>
      </c>
      <c r="T111" s="116">
        <f t="shared" si="26"/>
        <v>0</v>
      </c>
      <c r="U111" s="116">
        <f t="shared" si="26"/>
        <v>0</v>
      </c>
      <c r="V111" s="116">
        <f t="shared" si="26"/>
        <v>0</v>
      </c>
      <c r="W111" s="116">
        <f t="shared" si="26"/>
        <v>0</v>
      </c>
      <c r="X111" s="116">
        <f t="shared" si="26"/>
        <v>0</v>
      </c>
      <c r="Y111" s="116">
        <f t="shared" si="26"/>
        <v>0</v>
      </c>
      <c r="AL111" s="697"/>
    </row>
    <row r="112" spans="1:38" ht="15.75">
      <c r="A112" s="375"/>
      <c r="B112" s="113" t="s">
        <v>309</v>
      </c>
      <c r="C112" s="116">
        <f aca="true" t="shared" si="27" ref="C112:Y112">0.7*MIN(C104:C106)</f>
        <v>0</v>
      </c>
      <c r="D112" s="116">
        <f t="shared" si="27"/>
        <v>0</v>
      </c>
      <c r="E112" s="116">
        <f t="shared" si="27"/>
        <v>0</v>
      </c>
      <c r="F112" s="116">
        <f t="shared" si="27"/>
        <v>0</v>
      </c>
      <c r="G112" s="116">
        <f t="shared" si="27"/>
        <v>0</v>
      </c>
      <c r="H112" s="116">
        <f t="shared" si="27"/>
        <v>0</v>
      </c>
      <c r="I112" s="116">
        <f t="shared" si="27"/>
        <v>0</v>
      </c>
      <c r="J112" s="116">
        <f t="shared" si="27"/>
        <v>0</v>
      </c>
      <c r="K112" s="116">
        <f t="shared" si="27"/>
        <v>0</v>
      </c>
      <c r="L112" s="116">
        <f t="shared" si="27"/>
        <v>0</v>
      </c>
      <c r="M112" s="116">
        <f t="shared" si="27"/>
        <v>0</v>
      </c>
      <c r="N112" s="116">
        <f t="shared" si="27"/>
        <v>0</v>
      </c>
      <c r="O112" s="116">
        <f t="shared" si="27"/>
        <v>0</v>
      </c>
      <c r="P112" s="116">
        <f t="shared" si="27"/>
        <v>0</v>
      </c>
      <c r="Q112" s="116">
        <f t="shared" si="27"/>
        <v>0</v>
      </c>
      <c r="R112" s="116">
        <f t="shared" si="27"/>
        <v>0</v>
      </c>
      <c r="S112" s="116">
        <f t="shared" si="27"/>
        <v>0</v>
      </c>
      <c r="T112" s="116">
        <f t="shared" si="27"/>
        <v>0</v>
      </c>
      <c r="U112" s="116">
        <f t="shared" si="27"/>
        <v>0</v>
      </c>
      <c r="V112" s="116">
        <f t="shared" si="27"/>
        <v>0</v>
      </c>
      <c r="W112" s="116">
        <f t="shared" si="27"/>
        <v>0</v>
      </c>
      <c r="X112" s="116">
        <f t="shared" si="27"/>
        <v>0</v>
      </c>
      <c r="Y112" s="116">
        <f t="shared" si="27"/>
        <v>0</v>
      </c>
      <c r="AL112" s="697"/>
    </row>
    <row r="113" spans="1:38" ht="15.75">
      <c r="A113" s="375"/>
      <c r="B113" s="113" t="s">
        <v>310</v>
      </c>
      <c r="C113" s="114">
        <f aca="true" t="shared" si="28" ref="C113:W113">MIN(C108:C112,0)</f>
        <v>0</v>
      </c>
      <c r="D113" s="114">
        <f t="shared" si="28"/>
        <v>0</v>
      </c>
      <c r="E113" s="114">
        <f t="shared" si="28"/>
        <v>0</v>
      </c>
      <c r="F113" s="114">
        <f t="shared" si="28"/>
        <v>0</v>
      </c>
      <c r="G113" s="114">
        <f t="shared" si="28"/>
        <v>0</v>
      </c>
      <c r="H113" s="114">
        <f t="shared" si="28"/>
        <v>0</v>
      </c>
      <c r="I113" s="114">
        <f t="shared" si="28"/>
        <v>0</v>
      </c>
      <c r="J113" s="114">
        <f t="shared" si="28"/>
        <v>0</v>
      </c>
      <c r="K113" s="114">
        <f t="shared" si="28"/>
        <v>0</v>
      </c>
      <c r="L113" s="114">
        <f t="shared" si="28"/>
        <v>0</v>
      </c>
      <c r="M113" s="114">
        <f t="shared" si="28"/>
        <v>0</v>
      </c>
      <c r="N113" s="114">
        <f t="shared" si="28"/>
        <v>0</v>
      </c>
      <c r="O113" s="114">
        <f t="shared" si="28"/>
        <v>0</v>
      </c>
      <c r="P113" s="114">
        <f t="shared" si="28"/>
        <v>0</v>
      </c>
      <c r="Q113" s="114">
        <f t="shared" si="28"/>
        <v>0</v>
      </c>
      <c r="R113" s="114">
        <f t="shared" si="28"/>
        <v>0</v>
      </c>
      <c r="S113" s="114">
        <f t="shared" si="28"/>
        <v>0</v>
      </c>
      <c r="T113" s="114">
        <f t="shared" si="28"/>
        <v>0</v>
      </c>
      <c r="U113" s="114">
        <f t="shared" si="28"/>
        <v>0</v>
      </c>
      <c r="V113" s="114">
        <f t="shared" si="28"/>
        <v>0</v>
      </c>
      <c r="W113" s="114">
        <f t="shared" si="28"/>
        <v>0</v>
      </c>
      <c r="X113" s="114"/>
      <c r="Y113" s="114"/>
      <c r="AL113" s="697"/>
    </row>
    <row r="114" spans="1:38" ht="15.75">
      <c r="A114" s="375"/>
      <c r="B114" s="107" t="s">
        <v>311</v>
      </c>
      <c r="C114" s="114">
        <f aca="true" t="shared" si="29" ref="C114:Y114">MAX(C108:C112,0)</f>
        <v>0</v>
      </c>
      <c r="D114" s="114">
        <f t="shared" si="29"/>
        <v>0</v>
      </c>
      <c r="E114" s="114">
        <f t="shared" si="29"/>
        <v>0</v>
      </c>
      <c r="F114" s="114">
        <f t="shared" si="29"/>
        <v>0</v>
      </c>
      <c r="G114" s="114">
        <f t="shared" si="29"/>
        <v>0</v>
      </c>
      <c r="H114" s="115">
        <f t="shared" si="29"/>
        <v>0</v>
      </c>
      <c r="I114" s="114">
        <f t="shared" si="29"/>
        <v>0</v>
      </c>
      <c r="J114" s="114">
        <f t="shared" si="29"/>
        <v>0</v>
      </c>
      <c r="K114" s="114">
        <f t="shared" si="29"/>
        <v>0</v>
      </c>
      <c r="L114" s="114">
        <f t="shared" si="29"/>
        <v>0</v>
      </c>
      <c r="M114" s="114">
        <f t="shared" si="29"/>
        <v>0</v>
      </c>
      <c r="N114" s="114">
        <f t="shared" si="29"/>
        <v>0</v>
      </c>
      <c r="O114" s="114">
        <f t="shared" si="29"/>
        <v>0</v>
      </c>
      <c r="P114" s="114">
        <f t="shared" si="29"/>
        <v>0</v>
      </c>
      <c r="Q114" s="114">
        <f t="shared" si="29"/>
        <v>0</v>
      </c>
      <c r="R114" s="115">
        <f t="shared" si="29"/>
        <v>0</v>
      </c>
      <c r="S114" s="114">
        <f t="shared" si="29"/>
        <v>0</v>
      </c>
      <c r="T114" s="114">
        <f t="shared" si="29"/>
        <v>0</v>
      </c>
      <c r="U114" s="114">
        <f t="shared" si="29"/>
        <v>0</v>
      </c>
      <c r="V114" s="114">
        <f t="shared" si="29"/>
        <v>0</v>
      </c>
      <c r="W114" s="114">
        <f t="shared" si="29"/>
        <v>0</v>
      </c>
      <c r="X114" s="114">
        <f t="shared" si="29"/>
        <v>0</v>
      </c>
      <c r="Y114" s="114">
        <f t="shared" si="29"/>
        <v>0</v>
      </c>
      <c r="AL114" s="697"/>
    </row>
    <row r="115" spans="1:38" ht="15.75">
      <c r="A115" s="375"/>
      <c r="B115" s="107" t="s">
        <v>304</v>
      </c>
      <c r="C115" s="104">
        <v>0</v>
      </c>
      <c r="D115" s="104">
        <v>0</v>
      </c>
      <c r="E115" s="104">
        <v>0</v>
      </c>
      <c r="F115" s="104">
        <v>0</v>
      </c>
      <c r="G115" s="104">
        <v>0</v>
      </c>
      <c r="H115" s="104">
        <v>0</v>
      </c>
      <c r="I115" s="104">
        <v>0</v>
      </c>
      <c r="J115" s="104">
        <v>0</v>
      </c>
      <c r="K115" s="104">
        <v>0</v>
      </c>
      <c r="L115" s="104">
        <v>0</v>
      </c>
      <c r="M115" s="104">
        <v>0</v>
      </c>
      <c r="N115" s="104">
        <v>0</v>
      </c>
      <c r="O115" s="104">
        <v>0</v>
      </c>
      <c r="P115" s="104">
        <v>0</v>
      </c>
      <c r="Q115" s="104">
        <v>0</v>
      </c>
      <c r="R115" s="104">
        <v>0</v>
      </c>
      <c r="S115" s="104">
        <v>0</v>
      </c>
      <c r="T115" s="104">
        <v>0</v>
      </c>
      <c r="U115" s="104">
        <v>0</v>
      </c>
      <c r="V115" s="104">
        <v>0</v>
      </c>
      <c r="W115" s="104">
        <v>0</v>
      </c>
      <c r="X115" s="38"/>
      <c r="Y115" s="38"/>
      <c r="AL115" s="697"/>
    </row>
    <row r="116" spans="1:38" ht="15.75">
      <c r="A116" s="375"/>
      <c r="AL116" s="697"/>
    </row>
    <row r="117" spans="1:38" ht="18">
      <c r="A117" s="375"/>
      <c r="B117" s="718" t="s">
        <v>313</v>
      </c>
      <c r="AL117" s="697"/>
    </row>
    <row r="118" spans="1:38" ht="15.75">
      <c r="A118" s="375"/>
      <c r="B118" s="117"/>
      <c r="C118" s="117"/>
      <c r="D118" s="118"/>
      <c r="E118" s="118"/>
      <c r="F118" s="771" t="s">
        <v>47</v>
      </c>
      <c r="G118" s="119"/>
      <c r="H118" s="118"/>
      <c r="I118" s="118"/>
      <c r="J118" s="117"/>
      <c r="K118" s="117"/>
      <c r="L118" s="772" t="s">
        <v>59</v>
      </c>
      <c r="M118" s="120"/>
      <c r="N118" s="117"/>
      <c r="O118" s="117"/>
      <c r="P118" s="118"/>
      <c r="Q118" s="118"/>
      <c r="R118" s="771" t="s">
        <v>61</v>
      </c>
      <c r="S118" s="119"/>
      <c r="T118" s="118"/>
      <c r="U118" s="118"/>
      <c r="V118" s="117"/>
      <c r="W118" s="117"/>
      <c r="X118" s="772" t="s">
        <v>51</v>
      </c>
      <c r="Y118" s="120"/>
      <c r="Z118" s="117"/>
      <c r="AA118" s="117"/>
      <c r="AB118" s="118"/>
      <c r="AC118" s="118"/>
      <c r="AD118" s="771" t="s">
        <v>60</v>
      </c>
      <c r="AE118" s="119"/>
      <c r="AF118" s="118"/>
      <c r="AG118" s="118"/>
      <c r="AH118" s="117"/>
      <c r="AI118" s="117"/>
      <c r="AJ118" s="772" t="s">
        <v>62</v>
      </c>
      <c r="AK118" s="120"/>
      <c r="AL118" s="697"/>
    </row>
    <row r="119" spans="1:38" ht="15.75">
      <c r="A119" s="375"/>
      <c r="B119" s="102" t="s">
        <v>312</v>
      </c>
      <c r="C119" s="86">
        <v>0</v>
      </c>
      <c r="D119" s="86">
        <f>C119</f>
        <v>0</v>
      </c>
      <c r="E119" s="86">
        <f>MAIN!F29</f>
        <v>0</v>
      </c>
      <c r="F119" s="86">
        <f>E119</f>
        <v>0</v>
      </c>
      <c r="G119" s="86">
        <f>MAX(MAIN!F30,F119)</f>
        <v>0</v>
      </c>
      <c r="H119" s="86">
        <f>G119</f>
        <v>0</v>
      </c>
      <c r="I119" s="86">
        <f>MAIN!C18</f>
        <v>2</v>
      </c>
      <c r="J119" s="86">
        <v>0</v>
      </c>
      <c r="K119" s="86">
        <f>MAIN!F33</f>
        <v>1.45</v>
      </c>
      <c r="L119" s="86">
        <f>K119</f>
        <v>1.45</v>
      </c>
      <c r="M119" s="86">
        <f>MAX(MAIN!F34,L119)</f>
        <v>1.45</v>
      </c>
      <c r="N119" s="86">
        <f>M119</f>
        <v>1.45</v>
      </c>
      <c r="O119" s="86">
        <f>MAIN!C19</f>
        <v>7</v>
      </c>
      <c r="P119" s="86">
        <v>0</v>
      </c>
      <c r="Q119" s="86">
        <f>MAIN!F37</f>
        <v>0</v>
      </c>
      <c r="R119" s="86">
        <f>Q119</f>
        <v>0</v>
      </c>
      <c r="S119" s="86">
        <f>MAX(MAIN!F38,R119)</f>
        <v>0</v>
      </c>
      <c r="T119" s="86">
        <f>S119</f>
        <v>0</v>
      </c>
      <c r="U119" s="86">
        <f>MAIN!C20</f>
        <v>7.5</v>
      </c>
      <c r="V119" s="86">
        <v>0</v>
      </c>
      <c r="W119" s="86">
        <f>MAIN!K29</f>
        <v>0</v>
      </c>
      <c r="X119" s="86">
        <f>W119</f>
        <v>0</v>
      </c>
      <c r="Y119" s="86">
        <f>MAX(MAIN!K30,X119)</f>
        <v>0</v>
      </c>
      <c r="Z119" s="86">
        <f>Y119</f>
        <v>0</v>
      </c>
      <c r="AA119" s="86">
        <f>MAIN!C21</f>
        <v>0</v>
      </c>
      <c r="AB119" s="86">
        <v>0</v>
      </c>
      <c r="AC119" s="86">
        <f>MAIN!K33</f>
        <v>0</v>
      </c>
      <c r="AD119" s="86">
        <f>AC119</f>
        <v>0</v>
      </c>
      <c r="AE119" s="86">
        <f>MAX(MAIN!K34,AD119)</f>
        <v>0</v>
      </c>
      <c r="AF119" s="86">
        <f>AE119</f>
        <v>0</v>
      </c>
      <c r="AG119" s="86">
        <f>MAIN!C22</f>
        <v>0</v>
      </c>
      <c r="AH119" s="86">
        <v>0</v>
      </c>
      <c r="AI119" s="86">
        <f>MAIN!K37</f>
        <v>0</v>
      </c>
      <c r="AJ119" s="86">
        <f>AI119</f>
        <v>0</v>
      </c>
      <c r="AK119" s="86">
        <f>MAX(MAIN!K38,AJ119)</f>
        <v>0</v>
      </c>
      <c r="AL119" s="697"/>
    </row>
    <row r="120" spans="1:38" ht="15.75">
      <c r="A120" s="375"/>
      <c r="B120" s="102" t="s">
        <v>298</v>
      </c>
      <c r="C120" s="86">
        <f aca="true" t="shared" si="30" ref="C120:I120">C119</f>
        <v>0</v>
      </c>
      <c r="D120" s="86">
        <f t="shared" si="30"/>
        <v>0</v>
      </c>
      <c r="E120" s="86">
        <f t="shared" si="30"/>
        <v>0</v>
      </c>
      <c r="F120" s="86">
        <f t="shared" si="30"/>
        <v>0</v>
      </c>
      <c r="G120" s="86">
        <f t="shared" si="30"/>
        <v>0</v>
      </c>
      <c r="H120" s="86">
        <f t="shared" si="30"/>
        <v>0</v>
      </c>
      <c r="I120" s="86">
        <f t="shared" si="30"/>
        <v>2</v>
      </c>
      <c r="J120" s="86">
        <f>I120</f>
        <v>2</v>
      </c>
      <c r="K120" s="86">
        <f>$J120+K119</f>
        <v>3.45</v>
      </c>
      <c r="L120" s="86">
        <f>$J120+L119</f>
        <v>3.45</v>
      </c>
      <c r="M120" s="86">
        <f>$J120+M119</f>
        <v>3.45</v>
      </c>
      <c r="N120" s="86">
        <f>$J120+N119</f>
        <v>3.45</v>
      </c>
      <c r="O120" s="86">
        <f>$J120+O119</f>
        <v>9</v>
      </c>
      <c r="P120" s="86">
        <f>O120</f>
        <v>9</v>
      </c>
      <c r="Q120" s="86">
        <f>$P120+Q119</f>
        <v>9</v>
      </c>
      <c r="R120" s="86">
        <f>$P120+R119</f>
        <v>9</v>
      </c>
      <c r="S120" s="86">
        <f>$P120+S119</f>
        <v>9</v>
      </c>
      <c r="T120" s="86">
        <f>$P120+T119</f>
        <v>9</v>
      </c>
      <c r="U120" s="86">
        <f>$P120+U119</f>
        <v>16.5</v>
      </c>
      <c r="V120" s="86">
        <f>U120</f>
        <v>16.5</v>
      </c>
      <c r="W120" s="86">
        <f>$V120+W119</f>
        <v>16.5</v>
      </c>
      <c r="X120" s="86">
        <f>$V120+X119</f>
        <v>16.5</v>
      </c>
      <c r="Y120" s="86">
        <f>$V120+Y119</f>
        <v>16.5</v>
      </c>
      <c r="Z120" s="86">
        <f>$V120+Z119</f>
        <v>16.5</v>
      </c>
      <c r="AA120" s="86">
        <f>$V120+AA119</f>
        <v>16.5</v>
      </c>
      <c r="AB120" s="86">
        <f>AA120</f>
        <v>16.5</v>
      </c>
      <c r="AC120" s="86">
        <f>$AB120+AC119</f>
        <v>16.5</v>
      </c>
      <c r="AD120" s="86">
        <f>$AB120+AD119</f>
        <v>16.5</v>
      </c>
      <c r="AE120" s="86">
        <f>$AB120+AE119</f>
        <v>16.5</v>
      </c>
      <c r="AF120" s="86">
        <f>$AB120+AF119</f>
        <v>16.5</v>
      </c>
      <c r="AG120" s="86">
        <f>$AB120+AG119</f>
        <v>16.5</v>
      </c>
      <c r="AH120" s="86">
        <f>AG120</f>
        <v>16.5</v>
      </c>
      <c r="AI120" s="86">
        <f>$AH120+AI119</f>
        <v>16.5</v>
      </c>
      <c r="AJ120" s="86">
        <f>$AH120+AJ119</f>
        <v>16.5</v>
      </c>
      <c r="AK120" s="86">
        <f>$AH120+AK119</f>
        <v>16.5</v>
      </c>
      <c r="AL120" s="697"/>
    </row>
    <row r="121" spans="1:38" ht="15.75">
      <c r="A121" s="375"/>
      <c r="B121" s="108" t="s">
        <v>314</v>
      </c>
      <c r="C121" s="105">
        <v>0</v>
      </c>
      <c r="D121" s="103">
        <f>Analysis!C134</f>
        <v>0</v>
      </c>
      <c r="E121" s="103">
        <f>D121-Analysis!F170*E$119</f>
        <v>0</v>
      </c>
      <c r="F121" s="103">
        <f>E121-Analysis!G170</f>
        <v>0</v>
      </c>
      <c r="G121" s="103">
        <f>F121-(G$119-F$119)*Analysis!F170</f>
        <v>0</v>
      </c>
      <c r="H121" s="103">
        <f>G121-Analysis!H170</f>
        <v>0</v>
      </c>
      <c r="I121" s="103">
        <f>-Analysis!E134</f>
        <v>-35.8543425</v>
      </c>
      <c r="J121" s="105">
        <f>Analysis!F134</f>
        <v>56.99138736442207</v>
      </c>
      <c r="K121" s="105">
        <f>J121-Analysis!F190*K$119</f>
        <v>34.140702031088736</v>
      </c>
      <c r="L121" s="105">
        <f>K121-Analysis!G190</f>
        <v>20.640702031088736</v>
      </c>
      <c r="M121" s="105">
        <f>L121-(M$119-L$119)*Analysis!F190</f>
        <v>20.640702031088736</v>
      </c>
      <c r="N121" s="105">
        <f>M121-Analysis!H190</f>
        <v>20.640702031088736</v>
      </c>
      <c r="O121" s="105">
        <f>-Analysis!H134</f>
        <v>-66.82226596891128</v>
      </c>
      <c r="P121" s="103">
        <f>Analysis!I134</f>
        <v>70.25575332098386</v>
      </c>
      <c r="Q121" s="103">
        <f>P121-Analysis!F216*Q$119</f>
        <v>70.25575332098386</v>
      </c>
      <c r="R121" s="103">
        <f>Q121-Analysis!G216</f>
        <v>70.25575332098386</v>
      </c>
      <c r="S121" s="103">
        <f>R121-Analysis!F216*(S$119-R$119)</f>
        <v>70.25575332098386</v>
      </c>
      <c r="T121" s="103">
        <f>S121-Analysis!H216</f>
        <v>70.25575332098386</v>
      </c>
      <c r="U121" s="103">
        <f>-Analysis!K134</f>
        <v>-44.13910862346059</v>
      </c>
      <c r="V121" s="105">
        <f>Analysis!C138</f>
        <v>0</v>
      </c>
      <c r="W121" s="105">
        <f>V121-Analysis!F236*W$119</f>
        <v>0</v>
      </c>
      <c r="X121" s="105">
        <f>W121-Analysis!G236</f>
        <v>0</v>
      </c>
      <c r="Y121" s="105">
        <f>X121-Analysis!F236*(Y$119-X$119)</f>
        <v>0</v>
      </c>
      <c r="Z121" s="105">
        <f>Y121-Analysis!H236</f>
        <v>0</v>
      </c>
      <c r="AA121" s="105">
        <f>-Analysis!E138</f>
        <v>0</v>
      </c>
      <c r="AB121" s="103">
        <f>Analysis!F138</f>
        <v>0</v>
      </c>
      <c r="AC121" s="103">
        <f>AB121-Analysis!F256*AC$119</f>
        <v>0</v>
      </c>
      <c r="AD121" s="103">
        <f>AC121-Analysis!G256</f>
        <v>0</v>
      </c>
      <c r="AE121" s="103">
        <f>AD121-Analysis!F256*(AE$119-AD$119)</f>
        <v>0</v>
      </c>
      <c r="AF121" s="103">
        <f>AE121-Analysis!H256</f>
        <v>0</v>
      </c>
      <c r="AG121" s="103">
        <f>-Analysis!H138</f>
        <v>0</v>
      </c>
      <c r="AH121" s="105">
        <f>Analysis!I138</f>
        <v>0</v>
      </c>
      <c r="AI121" s="105">
        <f>AH121-Analysis!F281*AI$119</f>
        <v>0</v>
      </c>
      <c r="AJ121" s="105">
        <f>AI121-Analysis!G281</f>
        <v>0</v>
      </c>
      <c r="AK121" s="105">
        <f>AJ121-Analysis!F281*(AK$119-AJ$119)</f>
        <v>0</v>
      </c>
      <c r="AL121" s="697"/>
    </row>
    <row r="122" spans="1:38" ht="15.75">
      <c r="A122" s="375"/>
      <c r="B122" s="108" t="s">
        <v>315</v>
      </c>
      <c r="C122" s="105">
        <v>0</v>
      </c>
      <c r="D122" s="103">
        <f>Analysis!C135</f>
        <v>0</v>
      </c>
      <c r="E122" s="103">
        <f>D122-Analysis!F171*E$119</f>
        <v>0</v>
      </c>
      <c r="F122" s="103">
        <f>E122-Analysis!G171</f>
        <v>0</v>
      </c>
      <c r="G122" s="103">
        <f>F122-(G$119-F$119)*Analysis!F171</f>
        <v>0</v>
      </c>
      <c r="H122" s="103">
        <f>G122-Analysis!H171</f>
        <v>0</v>
      </c>
      <c r="I122" s="103">
        <f>-Analysis!E135</f>
        <v>-35.8543425</v>
      </c>
      <c r="J122" s="105">
        <f>Analysis!F135</f>
        <v>25.340275298975193</v>
      </c>
      <c r="K122" s="105">
        <f>J122-Analysis!F191*K$119</f>
        <v>15.646928632308525</v>
      </c>
      <c r="L122" s="105">
        <f>K122-Analysis!G191</f>
        <v>7.146928632308525</v>
      </c>
      <c r="M122" s="105">
        <f>L122-(M$119-L$119)*Analysis!F191</f>
        <v>7.146928632308525</v>
      </c>
      <c r="N122" s="105">
        <f>M122-Analysis!H191</f>
        <v>7.146928632308525</v>
      </c>
      <c r="O122" s="105">
        <f>-Analysis!H135</f>
        <v>-29.955191367691477</v>
      </c>
      <c r="P122" s="103">
        <f>Analysis!I135</f>
        <v>66.45497080428981</v>
      </c>
      <c r="Q122" s="103">
        <f>P122-Analysis!F217*Q$119</f>
        <v>66.45497080428981</v>
      </c>
      <c r="R122" s="103">
        <f>Q122-Analysis!G217</f>
        <v>66.45497080428981</v>
      </c>
      <c r="S122" s="103">
        <f>R122-Analysis!F217*(S$119-R$119)</f>
        <v>66.45497080428981</v>
      </c>
      <c r="T122" s="103">
        <f>S122-Analysis!H217</f>
        <v>66.45497080428981</v>
      </c>
      <c r="U122" s="103">
        <f>-Analysis!K135</f>
        <v>-47.93989114015462</v>
      </c>
      <c r="V122" s="105">
        <f>Analysis!C139</f>
        <v>0</v>
      </c>
      <c r="W122" s="105">
        <f>V122-Analysis!F237*W$119</f>
        <v>0</v>
      </c>
      <c r="X122" s="105">
        <f>W122-Analysis!G237</f>
        <v>0</v>
      </c>
      <c r="Y122" s="105">
        <f>X122-Analysis!F237*(Y$119-X$119)</f>
        <v>0</v>
      </c>
      <c r="Z122" s="105">
        <f>Y122-Analysis!H237</f>
        <v>0</v>
      </c>
      <c r="AA122" s="105">
        <f>-Analysis!E139</f>
        <v>0</v>
      </c>
      <c r="AB122" s="103">
        <f>Analysis!F139</f>
        <v>0</v>
      </c>
      <c r="AC122" s="103">
        <f>AB122-Analysis!F257*AC$119</f>
        <v>0</v>
      </c>
      <c r="AD122" s="103">
        <f>AC122-Analysis!G257</f>
        <v>0</v>
      </c>
      <c r="AE122" s="103">
        <f>AD122-Analysis!F257*(AE$119-AD$119)</f>
        <v>0</v>
      </c>
      <c r="AF122" s="103">
        <f>AE122-Analysis!H257</f>
        <v>0</v>
      </c>
      <c r="AG122" s="103">
        <f>-Analysis!H139</f>
        <v>0</v>
      </c>
      <c r="AH122" s="105">
        <f>Analysis!I139</f>
        <v>0</v>
      </c>
      <c r="AI122" s="105">
        <f>AH122-Analysis!F282*AI$119</f>
        <v>0</v>
      </c>
      <c r="AJ122" s="105">
        <f>AI122-Analysis!G282</f>
        <v>0</v>
      </c>
      <c r="AK122" s="105">
        <f>AJ122-Analysis!F282*(AK$119-AJ$119)</f>
        <v>0</v>
      </c>
      <c r="AL122" s="697"/>
    </row>
    <row r="123" spans="1:38" ht="15.75">
      <c r="A123" s="375"/>
      <c r="B123" s="108" t="s">
        <v>316</v>
      </c>
      <c r="C123" s="105">
        <v>0</v>
      </c>
      <c r="D123" s="103">
        <f>Analysis!C136</f>
        <v>0</v>
      </c>
      <c r="E123" s="103">
        <f>D123-Analysis!F172*E$119</f>
        <v>0</v>
      </c>
      <c r="F123" s="103">
        <f>E123-Analysis!G172</f>
        <v>0</v>
      </c>
      <c r="G123" s="103">
        <f>F123-(G$119-F$119)*Analysis!F172</f>
        <v>0</v>
      </c>
      <c r="H123" s="103">
        <f>G123-Analysis!H172</f>
        <v>0</v>
      </c>
      <c r="I123" s="103">
        <f>-Analysis!E136</f>
        <v>-16.4673875</v>
      </c>
      <c r="J123" s="105">
        <f>Analysis!F136</f>
        <v>58.192543474335864</v>
      </c>
      <c r="K123" s="105">
        <f>J123-Analysis!F192*K$119</f>
        <v>35.34185814100253</v>
      </c>
      <c r="L123" s="105">
        <f>K123-Analysis!G192</f>
        <v>21.841858141002533</v>
      </c>
      <c r="M123" s="105">
        <f>L123-(M$119-L$119)*Analysis!F192</f>
        <v>21.841858141002533</v>
      </c>
      <c r="N123" s="105">
        <f>M123-Analysis!H192</f>
        <v>21.841858141002533</v>
      </c>
      <c r="O123" s="105">
        <f>-Analysis!H136</f>
        <v>-65.62110985899749</v>
      </c>
      <c r="P123" s="103">
        <f>Analysis!I136</f>
        <v>33.0647666739532</v>
      </c>
      <c r="Q123" s="103">
        <f>P123-Analysis!F218*Q$119</f>
        <v>33.0647666739532</v>
      </c>
      <c r="R123" s="103">
        <f>Q123-Analysis!G218</f>
        <v>33.0647666739532</v>
      </c>
      <c r="S123" s="103">
        <f>R123-Analysis!F218*(S$119-R$119)</f>
        <v>33.0647666739532</v>
      </c>
      <c r="T123" s="103">
        <f>S123-Analysis!H218</f>
        <v>33.0647666739532</v>
      </c>
      <c r="U123" s="103">
        <f>-Analysis!K136</f>
        <v>-14.360134714935688</v>
      </c>
      <c r="V123" s="105">
        <f>Analysis!C140</f>
        <v>0</v>
      </c>
      <c r="W123" s="105">
        <f>V123-Analysis!F238*W$119</f>
        <v>0</v>
      </c>
      <c r="X123" s="105">
        <f>W123-Analysis!G238</f>
        <v>0</v>
      </c>
      <c r="Y123" s="105">
        <f>X123-Analysis!F238*(Y$119-X$119)</f>
        <v>0</v>
      </c>
      <c r="Z123" s="105">
        <f>Y123-Analysis!H238</f>
        <v>0</v>
      </c>
      <c r="AA123" s="105">
        <f>-Analysis!E140</f>
        <v>0</v>
      </c>
      <c r="AB123" s="103">
        <f>Analysis!F140</f>
        <v>0</v>
      </c>
      <c r="AC123" s="103">
        <f>AB123-Analysis!F258*AC$119</f>
        <v>0</v>
      </c>
      <c r="AD123" s="103">
        <f>AC123-Analysis!G258</f>
        <v>0</v>
      </c>
      <c r="AE123" s="103">
        <f>AD123-Analysis!F258*(AE$119-AD$119)</f>
        <v>0</v>
      </c>
      <c r="AF123" s="103">
        <f>AE123-Analysis!H258</f>
        <v>0</v>
      </c>
      <c r="AG123" s="103">
        <f>-Analysis!H140</f>
        <v>0</v>
      </c>
      <c r="AH123" s="105">
        <f>Analysis!I140</f>
        <v>0</v>
      </c>
      <c r="AI123" s="105">
        <f>AH123-Analysis!F283*AI$119</f>
        <v>0</v>
      </c>
      <c r="AJ123" s="105">
        <f>AI123-Analysis!G283</f>
        <v>0</v>
      </c>
      <c r="AK123" s="105">
        <f>AJ123-Analysis!F283*(AK$119-AJ$119)</f>
        <v>0</v>
      </c>
      <c r="AL123" s="697"/>
    </row>
    <row r="124" spans="1:38" ht="15.75">
      <c r="A124" s="375"/>
      <c r="B124" s="106" t="s">
        <v>317</v>
      </c>
      <c r="C124" s="103">
        <v>0</v>
      </c>
      <c r="D124" s="105">
        <f>Analysis!C150</f>
        <v>0</v>
      </c>
      <c r="E124" s="105">
        <f>D124-Analysis!F170*E$119</f>
        <v>0</v>
      </c>
      <c r="F124" s="105">
        <f>E124-Analysis!G170</f>
        <v>0</v>
      </c>
      <c r="G124" s="105">
        <f>F124-(G$119-F$119)*Analysis!F170</f>
        <v>0</v>
      </c>
      <c r="H124" s="105">
        <f>G124-Analysis!H170</f>
        <v>0</v>
      </c>
      <c r="I124" s="105">
        <f>-Analysis!E150</f>
        <v>-35.8543425</v>
      </c>
      <c r="J124" s="103">
        <f>Analysis!F150</f>
        <v>59.09004631333019</v>
      </c>
      <c r="K124" s="103">
        <f>J124-Analysis!F190*K$119</f>
        <v>36.23936097999686</v>
      </c>
      <c r="L124" s="103">
        <f>K124-Analysis!G190</f>
        <v>22.73936097999686</v>
      </c>
      <c r="M124" s="103">
        <f>L124-(M$119-L$119)*Analysis!F190</f>
        <v>22.73936097999686</v>
      </c>
      <c r="N124" s="103">
        <f>M124-Analysis!H190</f>
        <v>22.73936097999686</v>
      </c>
      <c r="O124" s="103">
        <f>-Analysis!H150</f>
        <v>-64.72360702000316</v>
      </c>
      <c r="P124" s="105">
        <f>Analysis!I150</f>
        <v>68.29700496866961</v>
      </c>
      <c r="Q124" s="105">
        <f>P124-Analysis!F216*Q$119</f>
        <v>68.29700496866961</v>
      </c>
      <c r="R124" s="105">
        <f>Q124-Analysis!G216</f>
        <v>68.29700496866961</v>
      </c>
      <c r="S124" s="105">
        <f>R124-Analysis!F216*(S$119-R$119)</f>
        <v>68.29700496866961</v>
      </c>
      <c r="T124" s="105">
        <f>S124-Analysis!H216</f>
        <v>68.29700496866961</v>
      </c>
      <c r="U124" s="105">
        <f>-Analysis!K150</f>
        <v>-46.09785697577483</v>
      </c>
      <c r="V124" s="103">
        <f>Analysis!C155</f>
        <v>0</v>
      </c>
      <c r="W124" s="103">
        <f>V124-Analysis!F236*W$119</f>
        <v>0</v>
      </c>
      <c r="X124" s="103">
        <f>W124-Analysis!G236</f>
        <v>0</v>
      </c>
      <c r="Y124" s="103">
        <f>X124-Analysis!F236*(Y$119-X$119)</f>
        <v>0</v>
      </c>
      <c r="Z124" s="103">
        <f>Y124-Analysis!H236</f>
        <v>0</v>
      </c>
      <c r="AA124" s="103">
        <f>-Analysis!E155</f>
        <v>0</v>
      </c>
      <c r="AB124" s="105">
        <f>Analysis!F155</f>
        <v>0</v>
      </c>
      <c r="AC124" s="105">
        <f>AB124-Analysis!F256*AC$119</f>
        <v>0</v>
      </c>
      <c r="AD124" s="105">
        <f>AC124-Analysis!G256</f>
        <v>0</v>
      </c>
      <c r="AE124" s="105">
        <f>AD124-Analysis!F256*(AE$119-AD$119)</f>
        <v>0</v>
      </c>
      <c r="AF124" s="105">
        <f>AE124-Analysis!H256</f>
        <v>0</v>
      </c>
      <c r="AG124" s="105">
        <f>-Analysis!H155</f>
        <v>0</v>
      </c>
      <c r="AH124" s="103">
        <f>Analysis!I155</f>
        <v>0</v>
      </c>
      <c r="AI124" s="103">
        <f>AH124-Analysis!F281*AI$119</f>
        <v>0</v>
      </c>
      <c r="AJ124" s="103">
        <f>AI124-Analysis!G281</f>
        <v>0</v>
      </c>
      <c r="AK124" s="103">
        <f>AJ124-Analysis!F281*(AK$119-AJ$119)</f>
        <v>0</v>
      </c>
      <c r="AL124" s="697"/>
    </row>
    <row r="125" spans="1:38" ht="15.75">
      <c r="A125" s="375"/>
      <c r="B125" s="106" t="s">
        <v>318</v>
      </c>
      <c r="C125" s="103">
        <v>0</v>
      </c>
      <c r="D125" s="105">
        <f>Analysis!C151</f>
        <v>0</v>
      </c>
      <c r="E125" s="105">
        <f>D125-Analysis!F171*E$119</f>
        <v>0</v>
      </c>
      <c r="F125" s="105">
        <f>E125-Analysis!G171</f>
        <v>0</v>
      </c>
      <c r="G125" s="105">
        <f>F125-(G$119-F$119)*Analysis!F171</f>
        <v>0</v>
      </c>
      <c r="H125" s="105">
        <f>G125-Analysis!H171</f>
        <v>0</v>
      </c>
      <c r="I125" s="105">
        <f>-Analysis!E151</f>
        <v>-35.8543425</v>
      </c>
      <c r="J125" s="103">
        <f>Analysis!F151</f>
        <v>23.852456397392903</v>
      </c>
      <c r="K125" s="103">
        <f>J125-Analysis!F191*K$119</f>
        <v>14.159109730726234</v>
      </c>
      <c r="L125" s="103">
        <f>K125-Analysis!G191</f>
        <v>5.659109730726234</v>
      </c>
      <c r="M125" s="103">
        <f>L125-(M$119-L$119)*Analysis!F191</f>
        <v>5.659109730726234</v>
      </c>
      <c r="N125" s="103">
        <f>M125-Analysis!H191</f>
        <v>5.659109730726234</v>
      </c>
      <c r="O125" s="103">
        <f>-Analysis!H151</f>
        <v>-31.443010269273767</v>
      </c>
      <c r="P125" s="105">
        <f>Analysis!I151</f>
        <v>67.84360177909997</v>
      </c>
      <c r="Q125" s="105">
        <f>P125-Analysis!F217*Q$119</f>
        <v>67.84360177909997</v>
      </c>
      <c r="R125" s="105">
        <f>Q125-Analysis!G217</f>
        <v>67.84360177909997</v>
      </c>
      <c r="S125" s="105">
        <f>R125-Analysis!F217*(S$119-R$119)</f>
        <v>67.84360177909997</v>
      </c>
      <c r="T125" s="105">
        <f>S125-Analysis!H217</f>
        <v>67.84360177909997</v>
      </c>
      <c r="U125" s="105">
        <f>-Analysis!K151</f>
        <v>-46.55126016534448</v>
      </c>
      <c r="V125" s="103">
        <f>Analysis!C156</f>
        <v>0</v>
      </c>
      <c r="W125" s="103">
        <f>V125-Analysis!F237*W$119</f>
        <v>0</v>
      </c>
      <c r="X125" s="103">
        <f>W125-Analysis!G237</f>
        <v>0</v>
      </c>
      <c r="Y125" s="103">
        <f>X125-Analysis!F237*(Y$119-X$119)</f>
        <v>0</v>
      </c>
      <c r="Z125" s="103">
        <f>Y125-Analysis!H237</f>
        <v>0</v>
      </c>
      <c r="AA125" s="103">
        <f>-Analysis!E156</f>
        <v>0</v>
      </c>
      <c r="AB125" s="105">
        <f>Analysis!F156</f>
        <v>0</v>
      </c>
      <c r="AC125" s="105">
        <f>AB125-Analysis!F257*AC$119</f>
        <v>0</v>
      </c>
      <c r="AD125" s="105">
        <f>AC125-Analysis!G257</f>
        <v>0</v>
      </c>
      <c r="AE125" s="105">
        <f>AD125-Analysis!F257*(AE$119-AD$119)</f>
        <v>0</v>
      </c>
      <c r="AF125" s="105">
        <f>AE125-Analysis!H257</f>
        <v>0</v>
      </c>
      <c r="AG125" s="105">
        <f>-Analysis!H156</f>
        <v>0</v>
      </c>
      <c r="AH125" s="103">
        <f>Analysis!I156</f>
        <v>0</v>
      </c>
      <c r="AI125" s="103">
        <f>AH125-Analysis!F282*AI$119</f>
        <v>0</v>
      </c>
      <c r="AJ125" s="103">
        <f>AI125-Analysis!G282</f>
        <v>0</v>
      </c>
      <c r="AK125" s="103">
        <f>AJ125-Analysis!F282*(AK$119-AJ$119)</f>
        <v>0</v>
      </c>
      <c r="AL125" s="697"/>
    </row>
    <row r="126" spans="1:38" ht="15.75">
      <c r="A126" s="375"/>
      <c r="B126" s="106" t="s">
        <v>319</v>
      </c>
      <c r="C126" s="103">
        <v>0</v>
      </c>
      <c r="D126" s="105">
        <f>Analysis!C152</f>
        <v>0</v>
      </c>
      <c r="E126" s="105">
        <f>D126-Analysis!F172*E$119</f>
        <v>0</v>
      </c>
      <c r="F126" s="105">
        <f>E126-Analysis!G172</f>
        <v>0</v>
      </c>
      <c r="G126" s="105">
        <f>F126-(G$119-F$119)*Analysis!F172</f>
        <v>0</v>
      </c>
      <c r="H126" s="105">
        <f>G126-Analysis!H172</f>
        <v>0</v>
      </c>
      <c r="I126" s="105">
        <f>-Analysis!E152</f>
        <v>-16.4673875</v>
      </c>
      <c r="J126" s="103">
        <f>Analysis!F152</f>
        <v>56.68949269191481</v>
      </c>
      <c r="K126" s="103">
        <f>J126-Analysis!F192*K$119</f>
        <v>33.83880735858148</v>
      </c>
      <c r="L126" s="103">
        <f>K126-Analysis!G192</f>
        <v>20.338807358581477</v>
      </c>
      <c r="M126" s="103">
        <f>L126-(M$119-L$119)*Analysis!F192</f>
        <v>20.338807358581477</v>
      </c>
      <c r="N126" s="103">
        <f>M126-Analysis!H192</f>
        <v>20.338807358581477</v>
      </c>
      <c r="O126" s="103">
        <f>-Analysis!H152</f>
        <v>-67.12416064141854</v>
      </c>
      <c r="P126" s="105">
        <f>Analysis!I152</f>
        <v>34.46761407087952</v>
      </c>
      <c r="Q126" s="105">
        <f>P126-Analysis!F218*Q$119</f>
        <v>34.46761407087952</v>
      </c>
      <c r="R126" s="105">
        <f>Q126-Analysis!G218</f>
        <v>34.46761407087952</v>
      </c>
      <c r="S126" s="105">
        <f>R126-Analysis!F218*(S$119-R$119)</f>
        <v>34.46761407087952</v>
      </c>
      <c r="T126" s="105">
        <f>S126-Analysis!H218</f>
        <v>34.46761407087952</v>
      </c>
      <c r="U126" s="105">
        <f>-Analysis!K152</f>
        <v>-12.957287318009374</v>
      </c>
      <c r="V126" s="103">
        <f>Analysis!C157</f>
        <v>0</v>
      </c>
      <c r="W126" s="103">
        <f>V126-Analysis!F238*W$119</f>
        <v>0</v>
      </c>
      <c r="X126" s="103">
        <f>W126-Analysis!G238</f>
        <v>0</v>
      </c>
      <c r="Y126" s="103">
        <f>X126-Analysis!F238*(Y$119-X$119)</f>
        <v>0</v>
      </c>
      <c r="Z126" s="103">
        <f>Y126-Analysis!H238</f>
        <v>0</v>
      </c>
      <c r="AA126" s="103">
        <f>-Analysis!E157</f>
        <v>0</v>
      </c>
      <c r="AB126" s="105">
        <f>Analysis!F157</f>
        <v>0</v>
      </c>
      <c r="AC126" s="105">
        <f>AB126-Analysis!F258*AC$119</f>
        <v>0</v>
      </c>
      <c r="AD126" s="105">
        <f>AC126-Analysis!G258</f>
        <v>0</v>
      </c>
      <c r="AE126" s="105">
        <f>AD126-Analysis!F258*(AE$119-AD$119)</f>
        <v>0</v>
      </c>
      <c r="AF126" s="105">
        <f>AE126-Analysis!H258</f>
        <v>0</v>
      </c>
      <c r="AG126" s="105">
        <f>-Analysis!H157</f>
        <v>0</v>
      </c>
      <c r="AH126" s="103">
        <f>Analysis!I157</f>
        <v>0</v>
      </c>
      <c r="AI126" s="103">
        <f>AH126-Analysis!F283*AI$119</f>
        <v>0</v>
      </c>
      <c r="AJ126" s="103">
        <f>AI126-Analysis!G283</f>
        <v>0</v>
      </c>
      <c r="AK126" s="103">
        <f>AJ126-Analysis!F283*(AK$119-AJ$119)</f>
        <v>0</v>
      </c>
      <c r="AL126" s="697"/>
    </row>
    <row r="127" spans="1:38" ht="15.75">
      <c r="A127" s="375"/>
      <c r="B127" s="113" t="s">
        <v>310</v>
      </c>
      <c r="C127" s="114">
        <f aca="true" t="shared" si="31" ref="C127:AK127">MIN(C124:C126)</f>
        <v>0</v>
      </c>
      <c r="D127" s="114">
        <f t="shared" si="31"/>
        <v>0</v>
      </c>
      <c r="E127" s="114">
        <f t="shared" si="31"/>
        <v>0</v>
      </c>
      <c r="F127" s="114">
        <f t="shared" si="31"/>
        <v>0</v>
      </c>
      <c r="G127" s="114">
        <f t="shared" si="31"/>
        <v>0</v>
      </c>
      <c r="H127" s="114">
        <f t="shared" si="31"/>
        <v>0</v>
      </c>
      <c r="I127" s="114">
        <f t="shared" si="31"/>
        <v>-35.8543425</v>
      </c>
      <c r="J127" s="114">
        <f t="shared" si="31"/>
        <v>23.852456397392903</v>
      </c>
      <c r="K127" s="114">
        <f t="shared" si="31"/>
        <v>14.159109730726234</v>
      </c>
      <c r="L127" s="114">
        <f t="shared" si="31"/>
        <v>5.659109730726234</v>
      </c>
      <c r="M127" s="114">
        <f t="shared" si="31"/>
        <v>5.659109730726234</v>
      </c>
      <c r="N127" s="114">
        <f t="shared" si="31"/>
        <v>5.659109730726234</v>
      </c>
      <c r="O127" s="114">
        <f t="shared" si="31"/>
        <v>-67.12416064141854</v>
      </c>
      <c r="P127" s="114">
        <f t="shared" si="31"/>
        <v>34.46761407087952</v>
      </c>
      <c r="Q127" s="114">
        <f t="shared" si="31"/>
        <v>34.46761407087952</v>
      </c>
      <c r="R127" s="114">
        <f t="shared" si="31"/>
        <v>34.46761407087952</v>
      </c>
      <c r="S127" s="114">
        <f t="shared" si="31"/>
        <v>34.46761407087952</v>
      </c>
      <c r="T127" s="114">
        <f t="shared" si="31"/>
        <v>34.46761407087952</v>
      </c>
      <c r="U127" s="114">
        <f t="shared" si="31"/>
        <v>-46.55126016534448</v>
      </c>
      <c r="V127" s="114">
        <f t="shared" si="31"/>
        <v>0</v>
      </c>
      <c r="W127" s="114">
        <f t="shared" si="31"/>
        <v>0</v>
      </c>
      <c r="X127" s="114">
        <f t="shared" si="31"/>
        <v>0</v>
      </c>
      <c r="Y127" s="114">
        <f t="shared" si="31"/>
        <v>0</v>
      </c>
      <c r="Z127" s="114">
        <f t="shared" si="31"/>
        <v>0</v>
      </c>
      <c r="AA127" s="114">
        <f t="shared" si="31"/>
        <v>0</v>
      </c>
      <c r="AB127" s="114">
        <f t="shared" si="31"/>
        <v>0</v>
      </c>
      <c r="AC127" s="114">
        <f t="shared" si="31"/>
        <v>0</v>
      </c>
      <c r="AD127" s="114">
        <f t="shared" si="31"/>
        <v>0</v>
      </c>
      <c r="AE127" s="114">
        <f t="shared" si="31"/>
        <v>0</v>
      </c>
      <c r="AF127" s="114">
        <f t="shared" si="31"/>
        <v>0</v>
      </c>
      <c r="AG127" s="114">
        <f t="shared" si="31"/>
        <v>0</v>
      </c>
      <c r="AH127" s="114">
        <f t="shared" si="31"/>
        <v>0</v>
      </c>
      <c r="AI127" s="114">
        <f t="shared" si="31"/>
        <v>0</v>
      </c>
      <c r="AJ127" s="114">
        <f t="shared" si="31"/>
        <v>0</v>
      </c>
      <c r="AK127" s="114">
        <f t="shared" si="31"/>
        <v>0</v>
      </c>
      <c r="AL127" s="697"/>
    </row>
    <row r="128" spans="1:38" ht="15.75">
      <c r="A128" s="375"/>
      <c r="B128" s="113" t="s">
        <v>311</v>
      </c>
      <c r="C128" s="114">
        <f aca="true" t="shared" si="32" ref="C128:AK128">MAX(C124:C126)</f>
        <v>0</v>
      </c>
      <c r="D128" s="114">
        <f t="shared" si="32"/>
        <v>0</v>
      </c>
      <c r="E128" s="114">
        <f t="shared" si="32"/>
        <v>0</v>
      </c>
      <c r="F128" s="114">
        <f t="shared" si="32"/>
        <v>0</v>
      </c>
      <c r="G128" s="114">
        <f t="shared" si="32"/>
        <v>0</v>
      </c>
      <c r="H128" s="114">
        <f t="shared" si="32"/>
        <v>0</v>
      </c>
      <c r="I128" s="114">
        <f t="shared" si="32"/>
        <v>-16.4673875</v>
      </c>
      <c r="J128" s="114">
        <f t="shared" si="32"/>
        <v>59.09004631333019</v>
      </c>
      <c r="K128" s="114">
        <f t="shared" si="32"/>
        <v>36.23936097999686</v>
      </c>
      <c r="L128" s="114">
        <f t="shared" si="32"/>
        <v>22.73936097999686</v>
      </c>
      <c r="M128" s="114">
        <f t="shared" si="32"/>
        <v>22.73936097999686</v>
      </c>
      <c r="N128" s="114">
        <f t="shared" si="32"/>
        <v>22.73936097999686</v>
      </c>
      <c r="O128" s="114">
        <f t="shared" si="32"/>
        <v>-31.443010269273767</v>
      </c>
      <c r="P128" s="114">
        <f t="shared" si="32"/>
        <v>68.29700496866961</v>
      </c>
      <c r="Q128" s="114">
        <f t="shared" si="32"/>
        <v>68.29700496866961</v>
      </c>
      <c r="R128" s="114">
        <f t="shared" si="32"/>
        <v>68.29700496866961</v>
      </c>
      <c r="S128" s="114">
        <f t="shared" si="32"/>
        <v>68.29700496866961</v>
      </c>
      <c r="T128" s="114">
        <f t="shared" si="32"/>
        <v>68.29700496866961</v>
      </c>
      <c r="U128" s="114">
        <f t="shared" si="32"/>
        <v>-12.957287318009374</v>
      </c>
      <c r="V128" s="114">
        <f t="shared" si="32"/>
        <v>0</v>
      </c>
      <c r="W128" s="114">
        <f t="shared" si="32"/>
        <v>0</v>
      </c>
      <c r="X128" s="114">
        <f t="shared" si="32"/>
        <v>0</v>
      </c>
      <c r="Y128" s="114">
        <f t="shared" si="32"/>
        <v>0</v>
      </c>
      <c r="Z128" s="114">
        <f t="shared" si="32"/>
        <v>0</v>
      </c>
      <c r="AA128" s="114">
        <f t="shared" si="32"/>
        <v>0</v>
      </c>
      <c r="AB128" s="114">
        <f t="shared" si="32"/>
        <v>0</v>
      </c>
      <c r="AC128" s="114">
        <f t="shared" si="32"/>
        <v>0</v>
      </c>
      <c r="AD128" s="114">
        <f t="shared" si="32"/>
        <v>0</v>
      </c>
      <c r="AE128" s="114">
        <f t="shared" si="32"/>
        <v>0</v>
      </c>
      <c r="AF128" s="114">
        <f t="shared" si="32"/>
        <v>0</v>
      </c>
      <c r="AG128" s="114">
        <f t="shared" si="32"/>
        <v>0</v>
      </c>
      <c r="AH128" s="114">
        <f t="shared" si="32"/>
        <v>0</v>
      </c>
      <c r="AI128" s="114">
        <f t="shared" si="32"/>
        <v>0</v>
      </c>
      <c r="AJ128" s="114">
        <f t="shared" si="32"/>
        <v>0</v>
      </c>
      <c r="AK128" s="114">
        <f t="shared" si="32"/>
        <v>0</v>
      </c>
      <c r="AL128" s="697"/>
    </row>
    <row r="129" spans="1:38" ht="15.75">
      <c r="A129" s="375"/>
      <c r="B129" s="107" t="s">
        <v>304</v>
      </c>
      <c r="C129" s="104">
        <v>0</v>
      </c>
      <c r="D129" s="104">
        <v>0</v>
      </c>
      <c r="E129" s="104">
        <v>0</v>
      </c>
      <c r="F129" s="104">
        <v>0</v>
      </c>
      <c r="G129" s="104">
        <v>0</v>
      </c>
      <c r="H129" s="104">
        <v>0</v>
      </c>
      <c r="I129" s="104">
        <v>0</v>
      </c>
      <c r="J129" s="104">
        <v>0</v>
      </c>
      <c r="K129" s="104">
        <v>0</v>
      </c>
      <c r="L129" s="104">
        <v>0</v>
      </c>
      <c r="M129" s="104">
        <v>0</v>
      </c>
      <c r="N129" s="104">
        <v>0</v>
      </c>
      <c r="O129" s="104">
        <v>0</v>
      </c>
      <c r="P129" s="104">
        <v>0</v>
      </c>
      <c r="Q129" s="104">
        <v>0</v>
      </c>
      <c r="R129" s="104">
        <v>0</v>
      </c>
      <c r="S129" s="104">
        <v>0</v>
      </c>
      <c r="T129" s="104">
        <v>0</v>
      </c>
      <c r="U129" s="104">
        <v>0</v>
      </c>
      <c r="V129" s="104">
        <v>0</v>
      </c>
      <c r="W129" s="104">
        <v>0</v>
      </c>
      <c r="X129" s="104">
        <v>0</v>
      </c>
      <c r="Y129" s="104">
        <v>0</v>
      </c>
      <c r="Z129" s="104">
        <v>0</v>
      </c>
      <c r="AA129" s="104">
        <v>0</v>
      </c>
      <c r="AB129" s="104">
        <v>0</v>
      </c>
      <c r="AC129" s="104">
        <v>0</v>
      </c>
      <c r="AD129" s="104">
        <v>0</v>
      </c>
      <c r="AE129" s="104">
        <v>0</v>
      </c>
      <c r="AF129" s="104">
        <v>0</v>
      </c>
      <c r="AG129" s="104">
        <v>0</v>
      </c>
      <c r="AH129" s="104">
        <v>0</v>
      </c>
      <c r="AI129" s="104">
        <v>0</v>
      </c>
      <c r="AJ129" s="104">
        <v>0</v>
      </c>
      <c r="AK129" s="104">
        <v>0</v>
      </c>
      <c r="AL129" s="697"/>
    </row>
    <row r="130" spans="1:38" ht="15.75">
      <c r="A130" s="375"/>
      <c r="AL130" s="697"/>
    </row>
    <row r="131" spans="1:38" ht="15.75">
      <c r="A131" s="375"/>
      <c r="B131" s="443" t="s">
        <v>365</v>
      </c>
      <c r="C131" s="444">
        <f>W21</f>
        <v>2.0000000000000004</v>
      </c>
      <c r="D131" s="444">
        <f>C131</f>
        <v>2.0000000000000004</v>
      </c>
      <c r="E131" s="444"/>
      <c r="F131" s="444">
        <f>W36</f>
        <v>8.999999999999996</v>
      </c>
      <c r="G131" s="444">
        <f>F131</f>
        <v>8.999999999999996</v>
      </c>
      <c r="H131" s="444"/>
      <c r="I131" s="444">
        <f>W51</f>
        <v>16.499999999999996</v>
      </c>
      <c r="J131" s="444">
        <f>I131</f>
        <v>16.499999999999996</v>
      </c>
      <c r="K131" s="444"/>
      <c r="L131" s="444">
        <f>W66</f>
        <v>16.499999999999996</v>
      </c>
      <c r="M131" s="444">
        <f>L131</f>
        <v>16.499999999999996</v>
      </c>
      <c r="N131" s="444"/>
      <c r="O131" s="444">
        <f>W88</f>
        <v>16.499999999999996</v>
      </c>
      <c r="P131" s="444">
        <f>O131</f>
        <v>16.499999999999996</v>
      </c>
      <c r="Q131" s="444"/>
      <c r="R131" s="444">
        <f>W103</f>
        <v>16.499999999999996</v>
      </c>
      <c r="S131" s="444">
        <f>R131</f>
        <v>16.499999999999996</v>
      </c>
      <c r="AL131" s="697"/>
    </row>
    <row r="132" spans="1:38" ht="15.75">
      <c r="A132" s="375"/>
      <c r="B132" s="443"/>
      <c r="C132" s="445">
        <f>-MAX(ACTIONS!D29:I30)</f>
        <v>-75.33882390340682</v>
      </c>
      <c r="D132" s="444">
        <f>MAX(ACTIONS!D23:J24,-0.1*C132)</f>
        <v>97.93741761571225</v>
      </c>
      <c r="E132" s="444"/>
      <c r="F132" s="444">
        <f>C132</f>
        <v>-75.33882390340682</v>
      </c>
      <c r="G132" s="444">
        <f>D132</f>
        <v>97.93741761571225</v>
      </c>
      <c r="H132" s="444"/>
      <c r="I132" s="444">
        <f>F132</f>
        <v>-75.33882390340682</v>
      </c>
      <c r="J132" s="444">
        <f>G132</f>
        <v>97.93741761571225</v>
      </c>
      <c r="K132" s="444"/>
      <c r="L132" s="444">
        <f>I132</f>
        <v>-75.33882390340682</v>
      </c>
      <c r="M132" s="444">
        <f>J132</f>
        <v>97.93741761571225</v>
      </c>
      <c r="N132" s="444"/>
      <c r="O132" s="444">
        <f>L132</f>
        <v>-75.33882390340682</v>
      </c>
      <c r="P132" s="444">
        <f>M132</f>
        <v>97.93741761571225</v>
      </c>
      <c r="Q132" s="444"/>
      <c r="R132" s="444">
        <f>O132</f>
        <v>-75.33882390340682</v>
      </c>
      <c r="S132" s="444">
        <f>P132</f>
        <v>97.93741761571225</v>
      </c>
      <c r="AL132" s="697"/>
    </row>
    <row r="133" spans="1:38" ht="15.75">
      <c r="A133" s="375"/>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697"/>
    </row>
    <row r="134" ht="15.75">
      <c r="AL134" s="3"/>
    </row>
    <row r="332" ht="15.75">
      <c r="AL332" s="3"/>
    </row>
    <row r="333" ht="15.75">
      <c r="AL333" s="3"/>
    </row>
    <row r="334" ht="15.75">
      <c r="AL334" s="3"/>
    </row>
    <row r="335" ht="15.75">
      <c r="AL335" s="3"/>
    </row>
    <row r="336" ht="15.75">
      <c r="AL336" s="3"/>
    </row>
    <row r="337" ht="15.75">
      <c r="AL337" s="3"/>
    </row>
    <row r="338" ht="15.75">
      <c r="AL338" s="3"/>
    </row>
    <row r="339" ht="15.75">
      <c r="AL339" s="3"/>
    </row>
    <row r="340" ht="15.75">
      <c r="AL340" s="3"/>
    </row>
    <row r="341" ht="15.75">
      <c r="AL341" s="3"/>
    </row>
    <row r="342" ht="15.75">
      <c r="AL342" s="3"/>
    </row>
    <row r="343" ht="15.75">
      <c r="AL343" s="3"/>
    </row>
    <row r="344" ht="15.75">
      <c r="AL344" s="3"/>
    </row>
    <row r="345" ht="15.75">
      <c r="AL345" s="3"/>
    </row>
    <row r="346" ht="15.75">
      <c r="AL346" s="3"/>
    </row>
    <row r="347" ht="15.75">
      <c r="AL347" s="3"/>
    </row>
    <row r="348" ht="15.75">
      <c r="AL348" s="3"/>
    </row>
    <row r="349" ht="15.75">
      <c r="AL349" s="3"/>
    </row>
    <row r="350" ht="15.75">
      <c r="AL350" s="3"/>
    </row>
    <row r="351" ht="15.75">
      <c r="AL351" s="3"/>
    </row>
    <row r="352" ht="15.75">
      <c r="AL352" s="3"/>
    </row>
    <row r="353" ht="15.75">
      <c r="AL353" s="3"/>
    </row>
    <row r="354" ht="15.75">
      <c r="AL354" s="3"/>
    </row>
    <row r="355" ht="15.75">
      <c r="AL355" s="3"/>
    </row>
    <row r="356" ht="15.75">
      <c r="AL356" s="3"/>
    </row>
    <row r="357" ht="15.75">
      <c r="AL357" s="3"/>
    </row>
    <row r="358" ht="15.75">
      <c r="AL358" s="3"/>
    </row>
    <row r="359" ht="15.75">
      <c r="AL359" s="3"/>
    </row>
    <row r="360" ht="15.75">
      <c r="AL360" s="3"/>
    </row>
    <row r="361" ht="15.75">
      <c r="AL361" s="3"/>
    </row>
    <row r="362" ht="15.75">
      <c r="AL362" s="3"/>
    </row>
    <row r="363" ht="15.75">
      <c r="AL363" s="3"/>
    </row>
    <row r="364" ht="15.75">
      <c r="AL364" s="3"/>
    </row>
    <row r="365" ht="15.75">
      <c r="AL365" s="3"/>
    </row>
    <row r="366" ht="15.75">
      <c r="AL366" s="3"/>
    </row>
    <row r="367" ht="15.75">
      <c r="AL367" s="3"/>
    </row>
    <row r="368" ht="15.75">
      <c r="AL368" s="3"/>
    </row>
    <row r="369" ht="15.75">
      <c r="AL369" s="3"/>
    </row>
    <row r="370" ht="15.75">
      <c r="AL370" s="3"/>
    </row>
    <row r="371" ht="15.75">
      <c r="AL371" s="3"/>
    </row>
    <row r="372" ht="15.75">
      <c r="AL372" s="3"/>
    </row>
    <row r="373" ht="15.75">
      <c r="AL373" s="3"/>
    </row>
    <row r="374" ht="15.75">
      <c r="AL374" s="3"/>
    </row>
    <row r="375" ht="15.75">
      <c r="AL375" s="3"/>
    </row>
    <row r="376" ht="15.75">
      <c r="AL376" s="3"/>
    </row>
    <row r="377" ht="15.75">
      <c r="AL377" s="3"/>
    </row>
    <row r="378" ht="15.75">
      <c r="AL378" s="3"/>
    </row>
    <row r="379" ht="15.75">
      <c r="AL379" s="3"/>
    </row>
    <row r="380" ht="15.75">
      <c r="AL380" s="3"/>
    </row>
    <row r="381" ht="15.75">
      <c r="AL381" s="3"/>
    </row>
    <row r="382" ht="15.75">
      <c r="AL382" s="3"/>
    </row>
    <row r="383" ht="15.75">
      <c r="AL383" s="3"/>
    </row>
    <row r="384" ht="15.75">
      <c r="AL384" s="3"/>
    </row>
    <row r="385" ht="15.75">
      <c r="AL385" s="3"/>
    </row>
    <row r="386" ht="15.75">
      <c r="AL386" s="3"/>
    </row>
    <row r="387" ht="15.75">
      <c r="AL387" s="3"/>
    </row>
    <row r="388" ht="15.75">
      <c r="AL388" s="3"/>
    </row>
    <row r="389" ht="15.75">
      <c r="AL389" s="3"/>
    </row>
    <row r="390" ht="15.75">
      <c r="AL390" s="3"/>
    </row>
    <row r="391" ht="15.75">
      <c r="AL391" s="3"/>
    </row>
  </sheetData>
  <sheetProtection sheet="1" objects="1" scenarios="1"/>
  <mergeCells count="2">
    <mergeCell ref="AJ5:AK5"/>
    <mergeCell ref="AJ82:AK82"/>
  </mergeCells>
  <printOptions horizontalCentered="1"/>
  <pageMargins left="0.3937007874015748" right="0.3937007874015748" top="0.3937007874015748" bottom="0.3937007874015748" header="0" footer="0"/>
  <pageSetup fitToHeight="2" horizontalDpi="300" verticalDpi="300" orientation="landscape" paperSize="9" scale="42" r:id="rId2"/>
  <headerFooter alignWithMargins="0">
    <oddFooter>&amp;L&amp;F&amp;C&amp;T        &amp;D</oddFooter>
  </headerFooter>
  <rowBreaks count="1" manualBreakCount="1">
    <brk id="78" min="1" max="36" man="1"/>
  </rowBreaks>
  <drawing r:id="rId1"/>
</worksheet>
</file>

<file path=xl/worksheets/sheet8.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A1" sqref="A1"/>
    </sheetView>
  </sheetViews>
  <sheetFormatPr defaultColWidth="9.140625" defaultRowHeight="12.75"/>
  <cols>
    <col min="1" max="1" width="3.7109375" style="0" customWidth="1"/>
    <col min="2" max="2" width="11.421875" style="0" customWidth="1"/>
    <col min="3" max="3" width="14.421875" style="0" customWidth="1"/>
    <col min="4" max="4" width="63.8515625" style="0" customWidth="1"/>
    <col min="5" max="5" width="11.57421875" style="0" customWidth="1"/>
    <col min="6" max="6" width="64.140625" style="0" customWidth="1"/>
  </cols>
  <sheetData>
    <row r="1" spans="1:6" ht="12.75">
      <c r="A1" s="375"/>
      <c r="B1" s="375"/>
      <c r="C1" s="375"/>
      <c r="D1" s="375"/>
      <c r="E1" s="375"/>
      <c r="F1" s="375"/>
    </row>
    <row r="2" spans="1:6" ht="15">
      <c r="A2" s="375"/>
      <c r="B2" s="796" t="s">
        <v>425</v>
      </c>
      <c r="C2" s="797"/>
      <c r="D2" s="797"/>
      <c r="E2" s="797"/>
      <c r="F2" s="375"/>
    </row>
    <row r="3" spans="1:6" ht="18" customHeight="1">
      <c r="A3" s="375"/>
      <c r="B3" s="828" t="s">
        <v>451</v>
      </c>
      <c r="C3" s="828"/>
      <c r="D3" s="828"/>
      <c r="E3" s="828"/>
      <c r="F3" s="375"/>
    </row>
    <row r="4" spans="1:6" ht="14.25" customHeight="1">
      <c r="A4" s="375"/>
      <c r="B4" s="829"/>
      <c r="C4" s="829"/>
      <c r="D4" s="829"/>
      <c r="E4" s="829"/>
      <c r="F4" s="375"/>
    </row>
    <row r="5" spans="1:6" ht="14.25" customHeight="1">
      <c r="A5" s="375"/>
      <c r="B5" s="829"/>
      <c r="C5" s="829"/>
      <c r="D5" s="829"/>
      <c r="E5" s="829"/>
      <c r="F5" s="375"/>
    </row>
    <row r="6" spans="1:6" ht="14.25" customHeight="1">
      <c r="A6" s="375"/>
      <c r="B6" s="829"/>
      <c r="C6" s="829"/>
      <c r="D6" s="829"/>
      <c r="E6" s="829"/>
      <c r="F6" s="375"/>
    </row>
    <row r="7" spans="1:6" ht="14.25" customHeight="1">
      <c r="A7" s="375"/>
      <c r="B7" s="829"/>
      <c r="C7" s="829"/>
      <c r="D7" s="829"/>
      <c r="E7" s="829"/>
      <c r="F7" s="375"/>
    </row>
    <row r="8" spans="1:6" ht="42" customHeight="1">
      <c r="A8" s="375"/>
      <c r="B8" s="829"/>
      <c r="C8" s="829"/>
      <c r="D8" s="829"/>
      <c r="E8" s="829"/>
      <c r="F8" s="375"/>
    </row>
    <row r="9" spans="1:6" ht="22.5" customHeight="1">
      <c r="A9" s="375"/>
      <c r="B9" s="829"/>
      <c r="C9" s="829"/>
      <c r="D9" s="829"/>
      <c r="E9" s="829"/>
      <c r="F9" s="375"/>
    </row>
    <row r="10" spans="1:6" ht="12" customHeight="1">
      <c r="A10" s="375"/>
      <c r="B10" s="829"/>
      <c r="C10" s="829"/>
      <c r="D10" s="829"/>
      <c r="E10" s="829"/>
      <c r="F10" s="375"/>
    </row>
    <row r="11" spans="1:6" ht="14.25" customHeight="1">
      <c r="A11" s="375"/>
      <c r="B11" s="799"/>
      <c r="C11" s="799"/>
      <c r="D11" s="799"/>
      <c r="E11" s="799"/>
      <c r="F11" s="375"/>
    </row>
    <row r="12" spans="1:6" ht="14.25">
      <c r="A12" s="375"/>
      <c r="B12" s="796" t="s">
        <v>426</v>
      </c>
      <c r="C12" s="800"/>
      <c r="D12" s="830" t="s">
        <v>452</v>
      </c>
      <c r="E12" s="830"/>
      <c r="F12" s="375"/>
    </row>
    <row r="13" spans="1:6" ht="14.25">
      <c r="A13" s="375"/>
      <c r="B13" s="797" t="s">
        <v>428</v>
      </c>
      <c r="C13" s="800"/>
      <c r="D13" s="830"/>
      <c r="E13" s="830"/>
      <c r="F13" s="375"/>
    </row>
    <row r="14" spans="1:6" ht="14.25">
      <c r="A14" s="375"/>
      <c r="B14" s="801"/>
      <c r="C14" s="800"/>
      <c r="D14" s="830"/>
      <c r="E14" s="830"/>
      <c r="F14" s="375"/>
    </row>
    <row r="15" spans="1:6" ht="15.75">
      <c r="A15" s="375"/>
      <c r="B15" s="802" t="s">
        <v>429</v>
      </c>
      <c r="C15" s="801"/>
      <c r="D15" s="801"/>
      <c r="E15" s="801"/>
      <c r="F15" s="375"/>
    </row>
    <row r="16" spans="1:6" ht="15" thickBot="1">
      <c r="A16" s="375"/>
      <c r="B16" s="802"/>
      <c r="C16" s="801"/>
      <c r="D16" s="801"/>
      <c r="E16" s="801"/>
      <c r="F16" s="375"/>
    </row>
    <row r="17" spans="1:12" ht="19.5" thickBot="1">
      <c r="A17" s="375"/>
      <c r="B17" s="699" t="s">
        <v>75</v>
      </c>
      <c r="C17" s="700" t="s">
        <v>341</v>
      </c>
      <c r="D17" s="701" t="s">
        <v>342</v>
      </c>
      <c r="E17" s="702" t="s">
        <v>453</v>
      </c>
      <c r="F17" s="804"/>
      <c r="G17" s="805"/>
      <c r="H17" s="805"/>
      <c r="I17" s="805"/>
      <c r="J17" s="805"/>
      <c r="K17" s="805"/>
      <c r="L17" s="1"/>
    </row>
    <row r="18" spans="1:12" ht="18.75">
      <c r="A18" s="375"/>
      <c r="B18" s="806">
        <v>37642</v>
      </c>
      <c r="C18" s="807" t="s">
        <v>462</v>
      </c>
      <c r="D18" s="808" t="s">
        <v>463</v>
      </c>
      <c r="E18" s="809">
        <v>834</v>
      </c>
      <c r="F18" s="804"/>
      <c r="G18" s="805"/>
      <c r="H18" s="805"/>
      <c r="I18" s="805"/>
      <c r="J18" s="805"/>
      <c r="K18" s="805"/>
      <c r="L18" s="1"/>
    </row>
    <row r="19" spans="1:12" ht="18.75">
      <c r="A19" s="375"/>
      <c r="B19" s="806">
        <v>37591</v>
      </c>
      <c r="C19" s="807" t="s">
        <v>459</v>
      </c>
      <c r="D19" s="808" t="s">
        <v>460</v>
      </c>
      <c r="E19" s="809">
        <v>852</v>
      </c>
      <c r="F19" s="804"/>
      <c r="G19" s="805"/>
      <c r="H19" s="805"/>
      <c r="I19" s="805"/>
      <c r="J19" s="805"/>
      <c r="K19" s="805"/>
      <c r="L19" s="1"/>
    </row>
    <row r="20" spans="1:12" ht="18.75">
      <c r="A20" s="375"/>
      <c r="B20" s="806">
        <v>37540</v>
      </c>
      <c r="C20" s="807" t="s">
        <v>457</v>
      </c>
      <c r="D20" s="808" t="s">
        <v>456</v>
      </c>
      <c r="E20" s="809">
        <v>856</v>
      </c>
      <c r="F20" s="804"/>
      <c r="G20" s="805"/>
      <c r="H20" s="805"/>
      <c r="I20" s="805"/>
      <c r="J20" s="805"/>
      <c r="K20" s="805"/>
      <c r="L20" s="1"/>
    </row>
    <row r="21" spans="1:12" ht="18.75">
      <c r="A21" s="375"/>
      <c r="B21" s="806">
        <v>37354</v>
      </c>
      <c r="C21" s="807" t="s">
        <v>454</v>
      </c>
      <c r="D21" s="808" t="s">
        <v>455</v>
      </c>
      <c r="E21" s="809">
        <v>833</v>
      </c>
      <c r="F21" s="798"/>
      <c r="G21" s="121"/>
      <c r="H21" s="121"/>
      <c r="I21" s="121"/>
      <c r="J21" s="121"/>
      <c r="K21" s="121"/>
      <c r="L21" s="2"/>
    </row>
    <row r="22" spans="1:12" ht="28.5">
      <c r="A22" s="375"/>
      <c r="B22" s="806">
        <v>37351</v>
      </c>
      <c r="C22" s="807" t="s">
        <v>449</v>
      </c>
      <c r="D22" s="808" t="s">
        <v>450</v>
      </c>
      <c r="E22" s="809">
        <v>833</v>
      </c>
      <c r="F22" s="798"/>
      <c r="G22" s="121"/>
      <c r="H22" s="121"/>
      <c r="I22" s="121"/>
      <c r="J22" s="121"/>
      <c r="K22" s="121"/>
      <c r="L22" s="2"/>
    </row>
    <row r="23" spans="1:12" ht="18.75">
      <c r="A23" s="375"/>
      <c r="B23" s="806">
        <v>37016</v>
      </c>
      <c r="C23" s="807" t="s">
        <v>447</v>
      </c>
      <c r="D23" s="808" t="s">
        <v>448</v>
      </c>
      <c r="E23" s="809">
        <v>762</v>
      </c>
      <c r="F23" s="798"/>
      <c r="G23" s="121"/>
      <c r="H23" s="121"/>
      <c r="I23" s="121"/>
      <c r="J23" s="121"/>
      <c r="K23" s="121"/>
      <c r="L23" s="2"/>
    </row>
    <row r="24" spans="1:12" ht="28.5">
      <c r="A24" s="375"/>
      <c r="B24" s="806">
        <v>36678</v>
      </c>
      <c r="C24" s="807" t="s">
        <v>444</v>
      </c>
      <c r="D24" s="808" t="s">
        <v>446</v>
      </c>
      <c r="E24" s="809">
        <v>762</v>
      </c>
      <c r="F24" s="798"/>
      <c r="G24" s="121"/>
      <c r="H24" s="121"/>
      <c r="I24" s="121"/>
      <c r="J24" s="121"/>
      <c r="K24" s="121"/>
      <c r="L24" s="2"/>
    </row>
    <row r="25" spans="1:12" ht="28.5">
      <c r="A25" s="375"/>
      <c r="B25" s="806">
        <v>36571</v>
      </c>
      <c r="C25" s="807" t="s">
        <v>442</v>
      </c>
      <c r="D25" s="808" t="s">
        <v>443</v>
      </c>
      <c r="E25" s="809">
        <v>758</v>
      </c>
      <c r="F25" s="798"/>
      <c r="G25" s="121"/>
      <c r="H25" s="121"/>
      <c r="I25" s="121"/>
      <c r="J25" s="121"/>
      <c r="K25" s="121"/>
      <c r="L25" s="2"/>
    </row>
    <row r="26" spans="1:12" ht="18.75">
      <c r="A26" s="375"/>
      <c r="B26" s="806">
        <v>36558</v>
      </c>
      <c r="C26" s="807" t="s">
        <v>440</v>
      </c>
      <c r="D26" s="808" t="s">
        <v>441</v>
      </c>
      <c r="E26" s="809">
        <v>758</v>
      </c>
      <c r="F26" s="798"/>
      <c r="G26" s="121"/>
      <c r="H26" s="121"/>
      <c r="I26" s="121"/>
      <c r="J26" s="121"/>
      <c r="K26" s="121"/>
      <c r="L26" s="2"/>
    </row>
    <row r="27" spans="1:12" ht="30" thickBot="1">
      <c r="A27" s="375"/>
      <c r="B27" s="810">
        <v>36376</v>
      </c>
      <c r="C27" s="811" t="s">
        <v>434</v>
      </c>
      <c r="D27" s="812" t="s">
        <v>433</v>
      </c>
      <c r="E27" s="813">
        <v>761</v>
      </c>
      <c r="F27" s="798"/>
      <c r="G27" s="121"/>
      <c r="H27" s="121"/>
      <c r="I27" s="121"/>
      <c r="J27" s="121"/>
      <c r="K27" s="121"/>
      <c r="L27" s="2"/>
    </row>
    <row r="28" spans="1:12" ht="18.75">
      <c r="A28" s="375"/>
      <c r="B28" s="814"/>
      <c r="C28" s="798"/>
      <c r="D28" s="815"/>
      <c r="E28" s="798"/>
      <c r="F28" s="798"/>
      <c r="G28" s="121"/>
      <c r="H28" s="121"/>
      <c r="I28" s="121"/>
      <c r="J28" s="121"/>
      <c r="K28" s="121"/>
      <c r="L28" s="2"/>
    </row>
    <row r="29" spans="2:12" ht="18.75">
      <c r="B29" s="816"/>
      <c r="C29" s="121"/>
      <c r="D29" s="817"/>
      <c r="E29" s="121"/>
      <c r="F29" s="121"/>
      <c r="G29" s="121"/>
      <c r="H29" s="121"/>
      <c r="I29" s="121"/>
      <c r="J29" s="121"/>
      <c r="K29" s="121"/>
      <c r="L29" s="2"/>
    </row>
    <row r="30" spans="2:12" ht="18.75">
      <c r="B30" s="816"/>
      <c r="C30" s="121"/>
      <c r="D30" s="817"/>
      <c r="E30" s="121"/>
      <c r="F30" s="121"/>
      <c r="G30" s="121"/>
      <c r="H30" s="121"/>
      <c r="I30" s="121"/>
      <c r="J30" s="121"/>
      <c r="K30" s="121"/>
      <c r="L30" s="2"/>
    </row>
    <row r="31" spans="2:12" ht="18.75">
      <c r="B31" s="816"/>
      <c r="C31" s="121"/>
      <c r="D31" s="817"/>
      <c r="E31" s="121"/>
      <c r="F31" s="121"/>
      <c r="G31" s="121"/>
      <c r="H31" s="121"/>
      <c r="I31" s="121"/>
      <c r="J31" s="121"/>
      <c r="K31" s="121"/>
      <c r="L31" s="2"/>
    </row>
    <row r="32" spans="2:12" ht="18.75">
      <c r="B32" s="816"/>
      <c r="C32" s="121"/>
      <c r="D32" s="817"/>
      <c r="E32" s="121"/>
      <c r="F32" s="121"/>
      <c r="G32" s="121"/>
      <c r="H32" s="121"/>
      <c r="I32" s="121"/>
      <c r="J32" s="121"/>
      <c r="K32" s="121"/>
      <c r="L32" s="2"/>
    </row>
    <row r="33" spans="2:12" ht="18.75">
      <c r="B33" s="816"/>
      <c r="C33" s="121"/>
      <c r="D33" s="817"/>
      <c r="E33" s="121"/>
      <c r="F33" s="121"/>
      <c r="G33" s="121"/>
      <c r="H33" s="121"/>
      <c r="I33" s="121"/>
      <c r="J33" s="121"/>
      <c r="K33" s="121"/>
      <c r="L33" s="2"/>
    </row>
    <row r="34" spans="2:12" ht="18.75">
      <c r="B34" s="817"/>
      <c r="C34" s="121"/>
      <c r="D34" s="817"/>
      <c r="E34" s="121"/>
      <c r="F34" s="121"/>
      <c r="G34" s="121"/>
      <c r="H34" s="121"/>
      <c r="I34" s="121"/>
      <c r="J34" s="121"/>
      <c r="K34" s="121"/>
      <c r="L34" s="2"/>
    </row>
    <row r="35" spans="2:12" ht="18.75">
      <c r="B35" s="121"/>
      <c r="C35" s="121"/>
      <c r="D35" s="121"/>
      <c r="E35" s="121"/>
      <c r="F35" s="121"/>
      <c r="G35" s="121"/>
      <c r="H35" s="121"/>
      <c r="I35" s="121"/>
      <c r="J35" s="121"/>
      <c r="K35" s="121"/>
      <c r="L35" s="2"/>
    </row>
    <row r="36" spans="2:12" ht="18.75">
      <c r="B36" s="121"/>
      <c r="C36" s="121"/>
      <c r="D36" s="121"/>
      <c r="E36" s="121"/>
      <c r="F36" s="121"/>
      <c r="G36" s="121"/>
      <c r="H36" s="121"/>
      <c r="I36" s="121"/>
      <c r="J36" s="121"/>
      <c r="K36" s="121"/>
      <c r="L36" s="2"/>
    </row>
    <row r="37" spans="2:12" ht="18.75">
      <c r="B37" s="121"/>
      <c r="C37" s="121"/>
      <c r="D37" s="121"/>
      <c r="E37" s="121"/>
      <c r="F37" s="121"/>
      <c r="G37" s="121"/>
      <c r="H37" s="121"/>
      <c r="I37" s="121"/>
      <c r="J37" s="121"/>
      <c r="K37" s="121"/>
      <c r="L37" s="2"/>
    </row>
    <row r="38" spans="2:12" ht="18.75">
      <c r="B38" s="1"/>
      <c r="C38" s="121"/>
      <c r="D38" s="1"/>
      <c r="E38" s="1"/>
      <c r="F38" s="1"/>
      <c r="G38" s="1"/>
      <c r="H38" s="1"/>
      <c r="I38" s="1"/>
      <c r="J38" s="1"/>
      <c r="K38" s="1"/>
      <c r="L38" s="1"/>
    </row>
    <row r="39" spans="2:12" ht="18.75">
      <c r="B39" s="1"/>
      <c r="C39" s="121"/>
      <c r="D39" s="1"/>
      <c r="E39" s="1"/>
      <c r="F39" s="1"/>
      <c r="G39" s="1"/>
      <c r="H39" s="1"/>
      <c r="I39" s="1"/>
      <c r="J39" s="1"/>
      <c r="K39" s="1"/>
      <c r="L39" s="1"/>
    </row>
    <row r="40" ht="18">
      <c r="C40" s="121"/>
    </row>
    <row r="41" ht="18">
      <c r="C41" s="121"/>
    </row>
    <row r="42" ht="18">
      <c r="C42" s="121"/>
    </row>
  </sheetData>
  <sheetProtection sheet="1" objects="1" scenarios="1"/>
  <mergeCells count="2">
    <mergeCell ref="B3:E10"/>
    <mergeCell ref="D12:E1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Concrete Innovation &amp;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 Webster</dc:creator>
  <cp:keywords/>
  <dc:description/>
  <cp:lastModifiedBy>EO</cp:lastModifiedBy>
  <cp:lastPrinted>2000-06-01T09:20:59Z</cp:lastPrinted>
  <dcterms:created xsi:type="dcterms:W3CDTF">1998-02-24T15:57:17Z</dcterms:created>
  <dcterms:modified xsi:type="dcterms:W3CDTF">2007-08-11T10:36:45Z</dcterms:modified>
  <cp:category/>
  <cp:version/>
  <cp:contentType/>
  <cp:contentStatus/>
</cp:coreProperties>
</file>